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0490" windowHeight="7650" activeTab="2"/>
  </bookViews>
  <sheets>
    <sheet name="PL 01" sheetId="1" r:id="rId1"/>
    <sheet name="PL 02" sheetId="2" r:id="rId2"/>
    <sheet name="PL 03" sheetId="3" r:id="rId3"/>
    <sheet name="PL 04" sheetId="4" r:id="rId4"/>
    <sheet name="PL 05" sheetId="5" r:id="rId5"/>
    <sheet name="DA1" sheetId="6" state="hidden" r:id="rId6"/>
    <sheet name="DA2" sheetId="7" state="hidden" r:id="rId7"/>
    <sheet name="DA3  " sheetId="8" state="hidden" r:id="rId8"/>
    <sheet name="DA4" sheetId="9" state="hidden" r:id="rId9"/>
    <sheet name="DA5" sheetId="10" state="hidden" r:id="rId10"/>
    <sheet name="DA6" sheetId="11" state="hidden" r:id="rId11"/>
    <sheet name="DA7" sheetId="12" state="hidden" r:id="rId12"/>
    <sheet name="PL 06" sheetId="13" r:id="rId13"/>
  </sheets>
  <externalReferences>
    <externalReference r:id="rId16"/>
  </externalReferences>
  <definedNames>
    <definedName name="_xlnm.Print_Titles" localSheetId="7">'DA3  '!$6:$9</definedName>
    <definedName name="_xlnm.Print_Titles" localSheetId="10">'DA6'!$6:$8</definedName>
    <definedName name="_xlnm.Print_Titles" localSheetId="11">'DA7'!$6:$8</definedName>
    <definedName name="_xlnm.Print_Titles" localSheetId="3">'PL 04'!$6:$8</definedName>
    <definedName name="_xlnm.Print_Area" localSheetId="0">'PL 01'!$A$1:$G$24</definedName>
    <definedName name="_xlnm.Print_Area" localSheetId="1">'PL 02'!$A$1:$K$11</definedName>
    <definedName name="_xlnm.Print_Area" localSheetId="12">'PL 06'!$A$1:$AF$34</definedName>
    <definedName name="_xlnm.Print_Titles" localSheetId="7">'DA3  '!$6:$9</definedName>
    <definedName name="_xlnm.Print_Titles" localSheetId="10">'DA6'!$6:$8</definedName>
    <definedName name="_xlnm.Print_Titles" localSheetId="11">'DA7'!$6:$8</definedName>
    <definedName name="_xlnm.Print_Titles" localSheetId="3">'PL 04'!$6:$8</definedName>
  </definedNames>
  <calcPr fullCalcOnLoad="1"/>
</workbook>
</file>

<file path=xl/sharedStrings.xml><?xml version="1.0" encoding="utf-8"?>
<sst xmlns="http://schemas.openxmlformats.org/spreadsheetml/2006/main" count="797" uniqueCount="355">
  <si>
    <t>Tổng cộng</t>
  </si>
  <si>
    <t>Dự án 1: Hỗ trợ đầu tư phát triển hạ tầng kinh tế - xã hội các huyện nghèo</t>
  </si>
  <si>
    <t>Dự án 3: Hỗ trợ phát triển sản xuất, cải thiện dinh dưỡng</t>
  </si>
  <si>
    <t>Dự án 4: Phát triển giáo dục nghề nghiệp, việc làm bền vững</t>
  </si>
  <si>
    <t>Dự án 6: Truyền thông và giảm nghèo về thông tin</t>
  </si>
  <si>
    <t>Dự án 7: Nâng cao năng lực và giám sát, đánh giá Chương trình</t>
  </si>
  <si>
    <t>Ghi chú</t>
  </si>
  <si>
    <t>Tổng số</t>
  </si>
  <si>
    <t>Trong đó (Sự nghiệp kinh tế)</t>
  </si>
  <si>
    <t>Trong đó (sự nghiệp kinh tế)</t>
  </si>
  <si>
    <t>Tiểu dự án 1: Phát triển giáo dục nghề nghiệp vùng nghèo, vùng khó khăn (sự nghiệp giáo dục)</t>
  </si>
  <si>
    <t>Tiểu dự án 2: Hỗ trợ người lao động đi làm việc ở nước ngoài theo hợp đồng (sự nghiệp kinh tế)</t>
  </si>
  <si>
    <t>Tiểu dự án 3: Hỗ trợ việc làm bền vững (sự nghiệp kinh tế)</t>
  </si>
  <si>
    <t>Trong đó (sự nghiệp văn hoá-thông tin)</t>
  </si>
  <si>
    <t>Trong đó (sự nghiệp giáo dục)</t>
  </si>
  <si>
    <t>Hỗ trợ cho cơ sở giáo dục nghề nghiệp</t>
  </si>
  <si>
    <t>Hỗ trợ đào tạo nghề</t>
  </si>
  <si>
    <t>Tiểu dự án 1: Giảm nghèo về thông tin</t>
  </si>
  <si>
    <t>Tiểu dự án 2: Truyền thông về giảm nghèo đa chiều</t>
  </si>
  <si>
    <t>Tiểu dự án 1: Nâng cao năng lực thực hiện Chương trình</t>
  </si>
  <si>
    <t>Tiểu dự án 2: Giám sát, đánh giá</t>
  </si>
  <si>
    <t>A</t>
  </si>
  <si>
    <t>B</t>
  </si>
  <si>
    <t>C</t>
  </si>
  <si>
    <t>I</t>
  </si>
  <si>
    <t>Khối tỉnh</t>
  </si>
  <si>
    <t>Sở Lao động Thương binh và xã hội</t>
  </si>
  <si>
    <t>Sở Thông tin và truyền thông</t>
  </si>
  <si>
    <t>Sở Nông nghiệp và phát triển nông thôn</t>
  </si>
  <si>
    <t>Sở Y tế</t>
  </si>
  <si>
    <t>Sở Kế hoạch và Đầu tư</t>
  </si>
  <si>
    <t>Sở Xây dựng</t>
  </si>
  <si>
    <t>Trường Cao đẳng Nghề</t>
  </si>
  <si>
    <t>Trường Cao đẳng kinh tế - kỹ thuật</t>
  </si>
  <si>
    <t>II</t>
  </si>
  <si>
    <t>Khối huyện</t>
  </si>
  <si>
    <t>Huyện Mường Nhé</t>
  </si>
  <si>
    <t>Huyện Mường Chà</t>
  </si>
  <si>
    <t>Huyện Tủa Chùa</t>
  </si>
  <si>
    <t>Huyện Tuần Giáo</t>
  </si>
  <si>
    <t xml:space="preserve">Huyện Điện Biên Đông </t>
  </si>
  <si>
    <t>Huyện Mường Ảng</t>
  </si>
  <si>
    <t>Huyện Nậm Pồ</t>
  </si>
  <si>
    <t>Huyện Điện Biên</t>
  </si>
  <si>
    <t>Thị xã Mường Lay</t>
  </si>
  <si>
    <t>TP. Điện Biên Phủ</t>
  </si>
  <si>
    <t>Biểu số 02</t>
  </si>
  <si>
    <t>Số TT</t>
  </si>
  <si>
    <t>Tên huyện</t>
  </si>
  <si>
    <t>Hệ số phân bổ</t>
  </si>
  <si>
    <t>Kinh phí đề nghị phân bổ (triệu đồng)</t>
  </si>
  <si>
    <t>Quy mô dân số huyện</t>
  </si>
  <si>
    <t>Tỷ lệ hộ nghèo và hộ cận nghèo</t>
  </si>
  <si>
    <t>Đặc điểm địa lý của huyện nghèo</t>
  </si>
  <si>
    <t>Số đơn vị hành chính cấp xã của huyện</t>
  </si>
  <si>
    <t>Tổng hệ số các tiêu chí</t>
  </si>
  <si>
    <t>Dân số (số hộ)</t>
  </si>
  <si>
    <t>Hệ số</t>
  </si>
  <si>
    <t>Tỷ lệ  (%)</t>
  </si>
  <si>
    <t>Đặc điểm</t>
  </si>
  <si>
    <t>Đơn vị hành chính (số xã)</t>
  </si>
  <si>
    <t>Tiểu dự án 1: Hỗ trợ đầu tư phát triển hạ tầng KT-XH các huyện nghèo</t>
  </si>
  <si>
    <t>9=c2+c4+c6+c8</t>
  </si>
  <si>
    <t>BG</t>
  </si>
  <si>
    <t>MN</t>
  </si>
  <si>
    <t>* Ghi chú: - Số liệu Quy mô dân số và tỷ lệ hộ nghèo, hộ cận nghèo được xác định trên cơ sở kết quả Tổng rà soát hộ nghèo, hộ cận nghèo năm 2021 theo chuẩn nghèo đa chiều giai đoạn 2022-2025 trên địa bàn tỉnh Điện Biên tại Quyết định số 54/QĐ-UBND ngày 12 tháng 01 năm 2022 của UBND tỉnh Điện Biên</t>
  </si>
  <si>
    <t>Biểu số 03</t>
  </si>
  <si>
    <t>Dự án 2: Đa dạng hoá sinh kế, phát triển mô hình giảm nghèo</t>
  </si>
  <si>
    <t>Kinh phí đề nghị phân bổ (sự nghiệp kinh tế) (Triệu đồng)</t>
  </si>
  <si>
    <t>Tỷ lệ hộ nghèo và hộ cận nghèo của huyện</t>
  </si>
  <si>
    <t>Số hộ nghèo và hộ cận nghèo</t>
  </si>
  <si>
    <t>Địa bàn khó khăn</t>
  </si>
  <si>
    <t>Tổng hệ số phân bổ</t>
  </si>
  <si>
    <t>Tỷ lệ (%)</t>
  </si>
  <si>
    <t>Số hộ</t>
  </si>
  <si>
    <t>Ci=Q.Xi.Yi</t>
  </si>
  <si>
    <t>Yi=(0,12*Hni)*2,5 + Đvi</t>
  </si>
  <si>
    <t>Q=G/Xi.Yi</t>
  </si>
  <si>
    <t>9=(c2+c4)*(0,12*c6*2,5+c8)</t>
  </si>
  <si>
    <t>Đvi = Số xã * Hệ số</t>
  </si>
  <si>
    <t>HN</t>
  </si>
  <si>
    <t>Ghi chú:  - Số liệu Quy mô dân số và tỷ lệ hộ nghèo, hộ cận nghèo được xác định trên cơ sở kết quả Tổng rà soát hộ nghèo, hộ cận nghèo năm 2021 theo chuẩn nghèo đa chiều giai đoạn 2022-2025 trên địa bàn tỉnh Điện Biên tại Quyết định số 54/QĐ-UBND ngày 12 tháng 01 năm 2022 của UBND tỉnh Điện Biên</t>
  </si>
  <si>
    <t>Biểu số 04</t>
  </si>
  <si>
    <t>Kinh phí đề nghị phân bổ (Triệu đồng)</t>
  </si>
  <si>
    <t>Tiểu dự án 1: Hỗ trợ phát triẻn sản xuất trong lĩnh vực nông nghiệp</t>
  </si>
  <si>
    <t>Đi=Q.Xi.Yi</t>
  </si>
  <si>
    <t>TỔNG SỐ</t>
  </si>
  <si>
    <t>Ghi chú:   - Số liệu Quy mô dân số và tỷ lệ hộ nghèo, hộ cận nghèo được xác định trên cơ sở kết quả Tổng rà soát hộ nghèo, hộ cận nghèo năm 2021 theo chuẩn nghèo đa chiều giai đoạn 2022-2025 trên địa bàn tỉnh Điện Biên tại Quyết định số 54/QĐ-UBND ngày 12 tháng 01 năm 2022 của UBND tỉnh Điện Biên</t>
  </si>
  <si>
    <t xml:space="preserve">           </t>
  </si>
  <si>
    <t>Biểu số 05</t>
  </si>
  <si>
    <t>Cơ sở giáo dục nghề nghiệp công lập của huyện</t>
  </si>
  <si>
    <t>Số lượng tuyển sinh</t>
  </si>
  <si>
    <t>Lực lượng lao động từ đủ 15 tuổi trở lên</t>
  </si>
  <si>
    <t>Tổng hệ số phân bổ cho Tiểu dự án 1</t>
  </si>
  <si>
    <t>Tổng hệ số phân bổ cho Tiểu dự án 2</t>
  </si>
  <si>
    <t>Tổng hệ số phân bổ cho Tiểu dự án 3</t>
  </si>
  <si>
    <t>Tổng tỷ lệ  (%)</t>
  </si>
  <si>
    <t>Số trung tâm giáo dục nghề nghiệp</t>
  </si>
  <si>
    <t>Số tuyển sinh</t>
  </si>
  <si>
    <t>Số lao động</t>
  </si>
  <si>
    <t>15=(c2+c4)*3+c10+c12</t>
  </si>
  <si>
    <t>16=c2+c4+0,12*c6+c8+c12</t>
  </si>
  <si>
    <t>17=(c2+c4)*0,12*c10</t>
  </si>
  <si>
    <t>18=(c2+c4)*c14</t>
  </si>
  <si>
    <t>19=20+23+24</t>
  </si>
  <si>
    <t>20=21+22</t>
  </si>
  <si>
    <t>Sở Lao động, thương binh và xã hội</t>
  </si>
  <si>
    <t xml:space="preserve"> - Số lượng tuyển sinh được xác định trên kết quả tuyển sinh năm 2020 trên địa bàn các huyện, thị xã, thành phố tại Quyết định số 3248/QĐ-UBND ngày 15/12/2021 của UBND tỉnh</t>
  </si>
  <si>
    <t xml:space="preserve"> - Chỉ tiêu lực lượng lao động từ đủ 15 tuổi trở lên do Sở Lao động Thương binh và xã hội rà soát, tổng hợp</t>
  </si>
  <si>
    <t>9=(c2+c4)*(0,12*c6+c8)</t>
  </si>
  <si>
    <t>Biểu số 07</t>
  </si>
  <si>
    <t>Tổng tỷ lệ hộ nghèo và hộ cận nghèo của huyện</t>
  </si>
  <si>
    <t>Tổng số hộ nghèo và hộ cận nghèo</t>
  </si>
  <si>
    <t>Tiểu dự án 2: Cải thiện dinh dưỡng</t>
  </si>
  <si>
    <t>Cấp huyện</t>
  </si>
  <si>
    <t>Tiêu chí</t>
  </si>
  <si>
    <t>Mường Nhé</t>
  </si>
  <si>
    <t>Mường Chà</t>
  </si>
  <si>
    <t>Tủa Chùa</t>
  </si>
  <si>
    <t>Tuần Giáo</t>
  </si>
  <si>
    <t>Điện Biên Đông</t>
  </si>
  <si>
    <t>Mường Ảng</t>
  </si>
  <si>
    <t>Nậm Pồ</t>
  </si>
  <si>
    <t>Cộng</t>
  </si>
  <si>
    <t>(Tiểu dự án 5: Hỗ trợ nhà ở cho hộ nghèo, hộ cận nghèo trên địa bàn các huyện nghèo)</t>
  </si>
  <si>
    <t>Nhu cầu xây mới, sửa chữa 2023-2025</t>
  </si>
  <si>
    <t>Xây mới</t>
  </si>
  <si>
    <t>Sửa chữa</t>
  </si>
  <si>
    <t xml:space="preserve">Nhu cầu xây mới, sửa chữa năm 2023 </t>
  </si>
  <si>
    <t>Tổng sửa chữa và xây mới</t>
  </si>
  <si>
    <t>Trung bình mức hỗ trợ (triệu đồng)</t>
  </si>
  <si>
    <t>Kinh phí hỗ trợ DA5 (triệu đồng)</t>
  </si>
  <si>
    <t>(Kèm theo Văn bản số        /SLĐTBXH-BTXH ngày     tháng 11 năm 2022 của Sở Lao động - Thương binh và Xã hội)</t>
  </si>
  <si>
    <t>Tiểu dự án 2 Hỗ trợ một số huyện nghèo thoát khỏi tình trạng khó khăn</t>
  </si>
  <si>
    <t>Tổng hệ số phân bổ Tiểu dự án 1</t>
  </si>
  <si>
    <t>Tổng hệ số phân bổ Tiểu dự án 2</t>
  </si>
  <si>
    <t>Tỷ lệ suy dinh dưỡng thấp còi của trẻ em dưới 5 tuổi</t>
  </si>
  <si>
    <t>11=(c2+c4)*(0,12*c6*2,5+c8)</t>
  </si>
  <si>
    <t>Tiểu dự án 2</t>
  </si>
  <si>
    <t>12=c10*(0,12*c6*3+c8)</t>
  </si>
  <si>
    <t>Tiểu dự án 1</t>
  </si>
  <si>
    <t>Đi=Q.DDi.Yi</t>
  </si>
  <si>
    <t>Yi=(0,12*Hni)*3 + Đvi</t>
  </si>
  <si>
    <t>Tổng số Dự án 3</t>
  </si>
  <si>
    <t>Tiểu dự án 3</t>
  </si>
  <si>
    <t>Cao đẳng Y tế</t>
  </si>
  <si>
    <t>Biểu 6</t>
  </si>
  <si>
    <t>ĐỀ NGHỊ PHÂN BỔ NGUỒN VỐN SỰ NGHIỆP CHƯƠNG TRÌNH MTQG GIẢM NGHÈO BỀN VỮNG, NĂM 2023</t>
  </si>
  <si>
    <t>Biểu số 8</t>
  </si>
  <si>
    <r>
      <t xml:space="preserve">      </t>
    </r>
    <r>
      <rPr>
        <u val="single"/>
        <sz val="12"/>
        <rFont val="Times New Roman"/>
        <family val="1"/>
      </rPr>
      <t>Ghi chú</t>
    </r>
    <r>
      <rPr>
        <sz val="12"/>
        <rFont val="Times New Roman"/>
        <family val="1"/>
      </rPr>
      <t>:Số liệu nhu cầu xây mới, sửa chữa 2023-2025 căn cứ biểu tổng hợp số liệu hỗ trợ nhà ở cho hộ nghèo, hộ cận nghèo trên địa bàn các huyện nghèo tỉnh Điện Biên kèm theo Quyết định sô 1987/QĐ-UBND ngày 28/10/2022.</t>
    </r>
  </si>
  <si>
    <t>TT</t>
  </si>
  <si>
    <t>Đơn vị</t>
  </si>
  <si>
    <t>Kế hoạch vốn đầu tư trung hạn giai đoạn 2021-2025</t>
  </si>
  <si>
    <t>Năm 2021</t>
  </si>
  <si>
    <t>Năm 2022</t>
  </si>
  <si>
    <t>Kế hoạch vốn còn lại</t>
  </si>
  <si>
    <t>BCĐ THỰC HIỆN CÁC CTMTQG</t>
  </si>
  <si>
    <t>Phụ lục số 02</t>
  </si>
  <si>
    <t>TỔNG MỨC VỐN PHÂN BỔ CỦA CÁC ĐƠN VỊ THỤ HƯỞNG CHƯƠNG TRÌNH MTQG GIẢM NGHÈO BỀN VỮNG GIAI ĐOẠN 2021-2025</t>
  </si>
  <si>
    <t>Phụ lục số 03</t>
  </si>
  <si>
    <t>BÁO CÁO KINH PHÍ THỰC HIỆN NĂM 2021; 2022</t>
  </si>
  <si>
    <t>CHƯƠNG TRÌNH MỤC TIÊU QUỐC GIA GIẢM NGHÈO BỀN VỮNG GIAI ĐOẠN 2021-2025</t>
  </si>
  <si>
    <t>Kinh phí năm trước chuyển sang</t>
  </si>
  <si>
    <t>Dự toán được giao trong năm</t>
  </si>
  <si>
    <t>Kinh phí được sử dụng trong năm</t>
  </si>
  <si>
    <t>Kinh phí thực nhận trong năm</t>
  </si>
  <si>
    <t>Kinh phí đề nghị quyết toán</t>
  </si>
  <si>
    <t>Kinh phí giảm trong năm</t>
  </si>
  <si>
    <t>Số dư kinh phí được phép chuyển sang năm sau</t>
  </si>
  <si>
    <t>3=1+2</t>
  </si>
  <si>
    <t>7=3-5-6</t>
  </si>
  <si>
    <t>III</t>
  </si>
  <si>
    <t>Tổng cộng (I+II)</t>
  </si>
  <si>
    <t>Phụ lục số 04</t>
  </si>
  <si>
    <t>TỔNG HỢP TÌNH HÌNH KINH PHÍ VÀ QUYẾT TOÁN KINH PHÍ</t>
  </si>
  <si>
    <t>Chỉ tiêu</t>
  </si>
  <si>
    <t>Kinh phí giai đoạn trước chuyển sang năm 2021</t>
  </si>
  <si>
    <t>Dự toán được giao giai đoạn 2021-2022</t>
  </si>
  <si>
    <t>Kinh phí thực nhận giai đoạn 2021-2022</t>
  </si>
  <si>
    <t>Kinh phí quyết toán chi giai đoạn 2021-2022</t>
  </si>
  <si>
    <t>Kinh phí giảm (nộp trả) giai đoạn 2021-2022</t>
  </si>
  <si>
    <t>Kinh phí được chuyển năm 2023</t>
  </si>
  <si>
    <t>Vốn đầu tư</t>
  </si>
  <si>
    <t>DA 1: Hỗ trợ ĐTPT hạ tầng KT-XH các huyện nghèo, các xã ĐBKK vùng bãi ngang, ven biển và hải đảo.</t>
  </si>
  <si>
    <t xml:space="preserve">Tiểu DA 2: Triển khai Đề án hỗ trợ một số huyện nghèo thoát khỏi tình trạng nghèo, đặc biệt khó khăn gđ 2022-2025 </t>
  </si>
  <si>
    <t>Tiểu DA 1: Hỗ trợ ĐTPT hạ tầng KT-XH các huyện nghèo, xã đặc biệt khó khăn  vùng bãi ngang, ven biển và hải đảo</t>
  </si>
  <si>
    <t>DA 4: Phát triển giáo dục nghề nghiệp, việc làm bền vững</t>
  </si>
  <si>
    <t>Tiểu DA 1: Phát triển GDNN vùng nghèo, vùng khó khăn</t>
  </si>
  <si>
    <t>Tiểu DA 2: Hỗ trợ NLĐ đi làm việc ở nước ngoài theo hợp đồng</t>
  </si>
  <si>
    <t>Tiểu DA 3: Hỗ trợ việc làm bền vững</t>
  </si>
  <si>
    <t>Vốn sự nghiệp</t>
  </si>
  <si>
    <t>DA 2: Đa dạng hóa sinh kế, phát triển mô hình giảm nghèo</t>
  </si>
  <si>
    <t>DA 3: Hỗ trợ ph.triển sản xuất, cải thiện dinh dưỡng</t>
  </si>
  <si>
    <t>Tiểu DA 1: Hỗ trợ phát triển sản xuất trong lĩnh vực nông nghiệp</t>
  </si>
  <si>
    <t>Tiểu DA 2: Cải thiện dinh dưỡng</t>
  </si>
  <si>
    <t>DA 5: Hỗ trợ nhà ở cho hộ nghèo, hộ cận nghèo trên địa bàn các huyện nghèo</t>
  </si>
  <si>
    <t>DA 6: Truyền thông và giảm nghèo về thông tin</t>
  </si>
  <si>
    <t>Tiểu DA 1: Giảm nghèo về thông tin</t>
  </si>
  <si>
    <t>Tiểu DA 2: Truyền thông giảm nghèo</t>
  </si>
  <si>
    <t>DA 7: Nâng cao năng lực và giám sát, đánh giá thực hiện CT</t>
  </si>
  <si>
    <t>Tiểu DA 1: Nâng cao năng lực thực hiện Chương trình</t>
  </si>
  <si>
    <t>Tiểu DA 2: Giám sát, đánh giá</t>
  </si>
  <si>
    <t>*</t>
  </si>
  <si>
    <t xml:space="preserve"> - Dự án 1</t>
  </si>
  <si>
    <t xml:space="preserve"> + Tiểu dự án 1</t>
  </si>
  <si>
    <t xml:space="preserve"> + Tiểu dự án 2</t>
  </si>
  <si>
    <t xml:space="preserve"> - Dự án 4</t>
  </si>
  <si>
    <t xml:space="preserve"> + Tiểu dự án 3</t>
  </si>
  <si>
    <t xml:space="preserve"> - Dự án 2</t>
  </si>
  <si>
    <t xml:space="preserve"> - Dự án 3</t>
  </si>
  <si>
    <t xml:space="preserve"> - Dự án 5</t>
  </si>
  <si>
    <t xml:space="preserve"> - Dự án 6</t>
  </si>
  <si>
    <t xml:space="preserve"> - Dự án 7</t>
  </si>
  <si>
    <t>4.1</t>
  </si>
  <si>
    <t>4.2</t>
  </si>
  <si>
    <t>Phụ lục số 05</t>
  </si>
  <si>
    <t>TÌNH HÌNH THỰC HIỆN CÁC DỰ ÁN ĐẦU TƯ THUỘC CHƯƠNG TRÌNH MTQG GIẢM NGHÈO BỀN VỮNG</t>
  </si>
  <si>
    <t>GIAI ĐOẠN 2021-2025 CỦA TỈNH ĐIỆN BIÊN (Số liệu báo cáo đến 31/12/2022)</t>
  </si>
  <si>
    <t>Công trình/gói thầu</t>
  </si>
  <si>
    <t>Nhà thầu thực hiện</t>
  </si>
  <si>
    <t>Hình thức hợp đồng</t>
  </si>
  <si>
    <t>Hình thức lựa chọn nhà thầu</t>
  </si>
  <si>
    <t>Tổng mức đầu tư</t>
  </si>
  <si>
    <t>Nguồn vốn</t>
  </si>
  <si>
    <t>Giá gói thầu được duyệt</t>
  </si>
  <si>
    <t>Dự toán được duyệt</t>
  </si>
  <si>
    <t>Giá trị hợp đồng</t>
  </si>
  <si>
    <t>Giá trị nghiệm thu khối lượng hoàn thành từ khi triển khai dự án đến 31/12/2022</t>
  </si>
  <si>
    <t>So sánh giá trị nghiệm thu/giá trị hợp đồng</t>
  </si>
  <si>
    <t>Công nợ phải thu từ khi triển khai dự án đến 31/12/2022</t>
  </si>
  <si>
    <t>Ghi chú (thanh tra, kiểm toán, ghi rõ giá trị, niên độ kiểm toán)</t>
  </si>
  <si>
    <t>…………………………</t>
  </si>
  <si>
    <t xml:space="preserve"> Khối tỉnh</t>
  </si>
  <si>
    <t xml:space="preserve"> Khối huyện</t>
  </si>
  <si>
    <t>Thời gian KC-HT</t>
  </si>
  <si>
    <t>Giá trị giải ngân (thanh toán, tạm ứng) từ khi triển khai dự án đến 31/12/2022</t>
  </si>
  <si>
    <t>Công nợ phải trả từ khi triển khai dự án đến 31/12/2022</t>
  </si>
  <si>
    <t>Tổng số được sử dụng giai đoạn 2021-2022</t>
  </si>
  <si>
    <t xml:space="preserve"> Ghi chú: Chỉ tiêu số dư năm trước chuyển sang, số dư chuyển năm sau không thực hiện cộng các năm.</t>
  </si>
  <si>
    <t>Lưu ý: Khi báo cáo cột 15 cần báo cáo ghi rõ Công trình nào đã được thanh tra, kiểm toán; Thanh tra là Thanh tra chính phủ hay thanh tra tỉnh; Công an tỉnh; Kiểm toán nhà nước thì do KTNN khu vực nào thực hiện và photocopy hoặc bản chụp Quyết định Thanh tra, kiểm toán để cung cấp cho Đoàn khảo sát thu nhập thông tin.</t>
  </si>
  <si>
    <t>Chi sự nghiệp</t>
  </si>
  <si>
    <t>XDCB</t>
  </si>
  <si>
    <t>Hình thức văn bản</t>
  </si>
  <si>
    <t>Cơ quan ban hành</t>
  </si>
  <si>
    <t>Số, ngày, tháng ban hành</t>
  </si>
  <si>
    <t xml:space="preserve">Tên văn bản </t>
  </si>
  <si>
    <t xml:space="preserve">Nội dung chủ yếu của cơ chế chính sách </t>
  </si>
  <si>
    <t>Ghi chú (cụ thể hóa nội dung gì, văn bản nào của Trung ương)</t>
  </si>
  <si>
    <t>Chỉ thị</t>
  </si>
  <si>
    <t>Huyện ủy</t>
  </si>
  <si>
    <t>Số 10-CT/HU ngày 17/9/2021</t>
  </si>
  <si>
    <t>Tăng cường sự lãnh đạo của Đảng đối với công tác giảm nghèo bền vững đến năm 2030</t>
  </si>
  <si>
    <t>Cụ thể hóa Nghị quyết Đại hội XIII của Đảng, các Nghị quyết, kết luận của Ban chấp hành TW, Bộ Chính trị, Quốc hội và Quyết định của Thủ hướng Chính phủ về Chương trình mục tiêu quốc gia giảm nghèo bền vững</t>
  </si>
  <si>
    <t>Nghị quyết</t>
  </si>
  <si>
    <t>NQ 13-NQ/HU ngày 04/3/2022</t>
  </si>
  <si>
    <t>Phát triển kinh tế - xã hội vùng đồng bào dân tộc thiểu số và miền núi, gắn với thực hiện mục tiêu giảm nghèo bền vững và an sinh xã hội huyện Tuần Giáo giai đoạn 2021-2025, định hướng đến năm 2030</t>
  </si>
  <si>
    <t>Thông báo</t>
  </si>
  <si>
    <t>Số 388-TB/HU ngày 05/4/2022</t>
  </si>
  <si>
    <t>Chủ trương, nội dung kinh phí thực hiện Chương trình mục tiêu quốc gia giảm nghèo bền vững giai đoạn 2021-2025, trên địa bàn huyện Tuần Giáo</t>
  </si>
  <si>
    <t>Cụ thể hóa chủ trương và các nội dung kinh phí thực hiện thuộc Chương trình mục tiêu quốc gia giảm nghèo bền vững giai đoạn 2021-2025 trên địa bàn huyện Tuần Giáo</t>
  </si>
  <si>
    <t>Số 218a-TB/HU ngày 20/7/2022</t>
  </si>
  <si>
    <t>Chủ trương Điều chỉnh tăng dự toán từ nguồn vốn sự nghiệp thuộc Chương trình mục tiêu quốc gia giảm nghèo bền vững và Chương trình mục tiêu quốc gia phát triển kinh tế - xã hội vùng đồng bào dân tộc thiểu số và miền núi (đợt 1) năm 2022 cho các cơ quan, đơn vị thực hiện;</t>
  </si>
  <si>
    <t>Cho chủ trương theo Quyết định số 1239/QĐ-UBND ngày 14/7/2022 của UBND tỉnh Điện Biên về việc điều chỉnh tăng dự toán thu bổ sung có mục tiêu từ ngân sách Trung ương cho ngân sách địa phương, đồng thời điều chỉnh tăng dự toán chi nguồn kinh phí sự nghiệp Chương trình mục tiêu quốc gia phát triển kinh tế - xã hội vùng đồng bào dân tộc thiểu số và miền núi (đợt 1), năm 2022;</t>
  </si>
  <si>
    <t>Kế hoạch</t>
  </si>
  <si>
    <t>UBND huyện</t>
  </si>
  <si>
    <t>KH 181/KH-UBND ngày 30/9/2021</t>
  </si>
  <si>
    <t>Thực hiện Chỉ thị số 05-CT/TW ngày 23/6/2021 của Ban Bí thư Trung ương Đảng về tăng cường sự lãnh đạo của Đảng đối với công tác giảm nghèo bền vững đến năm 2030</t>
  </si>
  <si>
    <t>Cụ thể hóa  Chỉ thị số 05-CT/TW ngày 23/6/2021 của Ban Bí thư Trung ương Đảng về tăng cường sự lãnh đạo của Đảng đối với công tác giảm nghèo bền vững đến năm 2030</t>
  </si>
  <si>
    <t>KH 211/KH-UBND ngày 24/9/2022</t>
  </si>
  <si>
    <t>Triển khai thực hiện Chương trình MTQG giảm nghèo bền vững giai đoạn 2021-2025 huyện Tuần Giáo</t>
  </si>
  <si>
    <t>Cụ thể hóa Quyết định số 90/QĐ-TTg ngày 18/01/2022 của Thủ tướng Chính phủ về việc phê duyệt Chương trình mục tiêu quốc gia giảm nghèo bền vững giai đoạn 2021-2025</t>
  </si>
  <si>
    <t>KH 194/KH-UBND ngày 15/10/2021</t>
  </si>
  <si>
    <t>Triển khai thực hiện Chương trình MTQG giảm nghèo bền vững năm 2022 huyện Tuần Giáo</t>
  </si>
  <si>
    <t>Cụ thể hóa Quyết định số 90/QĐ-TTg ngày 18/01/2022 của Thủ tướng Chính phủ về việc phê duyệt Chương trình mục tiêu quốc gia giảm nghèo bền vững giai đoạn 2021-2025 chi tiết đến năm</t>
  </si>
  <si>
    <t>Công văn</t>
  </si>
  <si>
    <t>CV 1043/UBND-LĐTBXH ngày 11/7/2022</t>
  </si>
  <si>
    <t xml:space="preserve">Xây dựng dự toán kinh phí thực hiện Chương trình mục tiêu quốc gia giảm nghèo bền vững năm 2023
</t>
  </si>
  <si>
    <t>Xây dựng dự toán kinh phí thực hiện Chương trình mục tiêu quốc gia giảm nghèo bền vững năm 2023</t>
  </si>
  <si>
    <t>Quyết định</t>
  </si>
  <si>
    <t>QĐ 324/QĐ-UBND ngày 20/01/2022</t>
  </si>
  <si>
    <t>QĐ thành lập Ban chỉ đạo các Chương trình mục tiêu quốc gia huyện Tuần Giáo, giai đoạn 2021-2025</t>
  </si>
  <si>
    <t>Cụ thể hóa Quyết định số 1945/QĐ-TTg ngày 18/11/2021 của Thủ tướng Chính phủ về việc thành lập BCĐ Trung ương các Chương trình MTQG giai đoạn 2021-2025</t>
  </si>
  <si>
    <t>QĐ 1794/QĐ-UBND ngày 28/9/2022</t>
  </si>
  <si>
    <t>QĐ kiện toàn Ban chỉ đạo các Chương trình mục tiêu quốc gia huyện Tuần Giáo, giai đoạn 2021-2025</t>
  </si>
  <si>
    <t>Chương trình hành động</t>
  </si>
  <si>
    <t>CTr 641/CTr-UBND ngày 05/5/2022</t>
  </si>
  <si>
    <t>Thực hiện Nghị quyết số 13-NQ/HU ngày 04/3/2022 của Huyện ủy Tuần Giáo về phát triển kinh tế - xã hội vùng đồng bào dân tộc thiểu số và miền núi, gắn với thực hiện mục tiêu giảm nghèo bền vững và an sinh xã hội huyện Tuần Giáo giai đoạn 2021-2025, định hướng đến năm 2030</t>
  </si>
  <si>
    <t>Cụ thể hóa Nghị quyết 13-NQ/HU ngày 04/3/2022 về Phát triển kinh tế - xã hội vùng đồng bào dân tộc thiểu số và miền núi, gắn với thực hiện mục tiêu giảm nghèo bền vững và an sinh xã hội huyện Tuần Giáo giai đoạn 2021-2025, định hướng đến năm 2030</t>
  </si>
  <si>
    <t>Báo cáo</t>
  </si>
  <si>
    <t>BC 246/BC-UBND</t>
  </si>
  <si>
    <t>Báo cáo đề xuất nội dung, kinh phí thực hiện Chương trình mục tiêu quốc gia giảm nghèo bền vững giai đoạn 2021-2025, trên địa bàn huyện</t>
  </si>
  <si>
    <t>Cụ thể hóa Quyết định số 90/QĐ-TTg ngày 18/01/2022 của Thủ tướng Chính phủ về việc phê duyệt Chương trình mục tiêu quốc gia giảm nghèo bền vững giai đoạn 2021-2025 chi tiết đến từng dự án, tiểu dự án</t>
  </si>
  <si>
    <t>QĐ 75/QĐ-UBND ngày 16/6/2022</t>
  </si>
  <si>
    <t>Giao nhiệm vụ quản lý dự án các dự án dự kiến khởi công mới năm 2022 thuộc Chương trình mục tiêu quốc gia giảm nghèo bền vững giai đoạn 2021-2025, trên địa bàn huyện Tuần Giáo</t>
  </si>
  <si>
    <t>Giao nhiệm vụ cho Ban Quản lý dự án các công trình huyện Tuần Giáo thực hiện quản lý dự án các dự án dự kiến khởi công mới năm 2022 thuộc Chương trình mục tiêu quốc gia giảm nghèo bền vững giai đoạn 2021-2025, trên địa bàn huyện Tuần Giáo</t>
  </si>
  <si>
    <t>TB 1297/TB-UBND ngày 15/8/2022</t>
  </si>
  <si>
    <t>Phân bổ chi tiết kế hoạch vốn đầu tư phát triển nguồn ngân sách Trung ương năm 2022 (Đợt 2) thực hiện Chương trình mục tiêu quốc gia trên địa bàn huyện Tuần Giáo</t>
  </si>
  <si>
    <t>Phân bổ chi tiết kế hoạch vốn đầu tư phát triển nguồn ngân sách Trung ương năm 2022 (Đợt 2) thực hiện Chương trình mục tiêu quốc gia giảm nghèo bền vững và MTQG xây dựng Nông thôn mới trên địa bàn huyện Tuần Giáo</t>
  </si>
  <si>
    <t>QĐ 1684/QĐ-UBND ngày 22/7/2022</t>
  </si>
  <si>
    <t>Phê duyệt điều chỉnh tăng dự toán từ nguồn vốn sự nghiệp thuộc Chương trình MTQG giảm nghèo bền vững và Chương trình MTQG phát triển kinh tế - xã hội và vùng đồng bào DTTS và miền núi (đợt 1) năm 2022 cho các cơ quan, đơn vị thực hiện</t>
  </si>
  <si>
    <t>Cụ thể hóa Thông báo số 218a-TB/HU ngày 20/7/2022 về chủ trương Điều chỉnh tăng dự toán từ nguồn vốn sự nghiệp thuộc Chương trình mục tiêu quốc gia giảm nghèo bền vững và Chương trình mục tiêu quốc gia phát triển kinh tế - xã hội vùng đồng bào dân tộc thiểu số và miền núi (đợt 1) năm 2022 cho các cơ quan, đơn vị thực hiện;</t>
  </si>
  <si>
    <t>CV 1962/UBND-LĐTBXH ngày 27/12/2022</t>
  </si>
  <si>
    <t>Phân công nhiệm vụ các cơ quan, đơn vị thực hiện các Dự án, tiểu dự án thuộc Chương trình MTQG Giảm nghèo bền vững giai đoạn 2021 2025 huyện Tuần Giáo</t>
  </si>
  <si>
    <t>Cụ thể hóa nhiệm vụ của các thành viên Ban chỉ đạo chương trình MTQG huyện Tuần Giáo giai đoạn 2021-2025</t>
  </si>
  <si>
    <t>Phụ lục 1</t>
  </si>
  <si>
    <t>DANH MỤC VĂN BẢN CHỦ YẾU LIÊN QUAN ĐẾN CHƯƠNG TRÌNH</t>
  </si>
  <si>
    <t>MTQG GIẢM NGHÈO BỀN VỮNG GIAI ĐOẠN 2021-2025</t>
  </si>
  <si>
    <t>A. Các văn bản pháp lý chủ yếu liên quan đến quản lý và điều hành Chương trình</t>
  </si>
  <si>
    <t>B. Cơ chế quản lý tài chính liên quan đến Chương trình</t>
  </si>
  <si>
    <t>HUYỆN TUẦN GIÁO</t>
  </si>
  <si>
    <t>Đơn vị tính: triệu đồng</t>
  </si>
  <si>
    <t>Đơn vị tính: Triệu đồng</t>
  </si>
  <si>
    <t>Trung tâm văn hóa huyện Tuần Giáo</t>
  </si>
  <si>
    <t>Liên danh số 6 – Bảo Lâm</t>
  </si>
  <si>
    <t>Theo đơn giá điều chỉnh</t>
  </si>
  <si>
    <t>Chương trình MTQG giảm nghèo bền vững giai đoạn 2021-2025</t>
  </si>
  <si>
    <t>2022-2024</t>
  </si>
  <si>
    <t>Đường liên xã Nà Sáy - Mường Khong</t>
  </si>
  <si>
    <t>Liên danh Công ty TNHH tư vấn thiết kế Công Phú và Công ty cổ phần xây dựng và thương mại Đông Hưng</t>
  </si>
  <si>
    <t>Trọn gói</t>
  </si>
  <si>
    <t>Trường PTDTBT tiểu học Khoong Hin</t>
  </si>
  <si>
    <t>Liên danh Điện Biên – Hà Nội</t>
  </si>
  <si>
    <t>Đấu thầu rộng rãi qua mạng</t>
  </si>
  <si>
    <t>Phụ lục 6</t>
  </si>
  <si>
    <t>KẾT QUẢ GIẢI NGÂN NGUỒN VỐN PHÂN BỔ CHO CÁC DỰ ÁN, TIỂU DỰ ÁN</t>
  </si>
  <si>
    <t>Đơn vị: Tỷ đồng</t>
  </si>
  <si>
    <t>DỰ ÁN</t>
  </si>
  <si>
    <t>TỪ THÁNG 7 ĐẾN HẾT THÁNG 12 NĂM 2021</t>
  </si>
  <si>
    <t>NĂM 2022</t>
  </si>
  <si>
    <t>6 THÁNG ĐẦU NĂM 2023</t>
  </si>
  <si>
    <t>NSTW</t>
  </si>
  <si>
    <t>NSĐP</t>
  </si>
  <si>
    <t>Huy động khác</t>
  </si>
  <si>
    <t>ĐTPT</t>
  </si>
  <si>
    <t>SN</t>
  </si>
  <si>
    <t>Tỷ đồng</t>
  </si>
  <si>
    <t>%</t>
  </si>
  <si>
    <t>TỔNG CỘNG</t>
  </si>
  <si>
    <t>Tiểu DA 1: Hỗ trợ ĐTPT hạ tầng KT-XH các huyện nghèo, xã ĐBKK vùng bãi ngang, ven biển và hải đảo</t>
  </si>
  <si>
    <t>1.1</t>
  </si>
  <si>
    <t>Sửa chữa đường từ QL6 - bản Hồng Phong - bản Xuân Tươi xã Mường Mùn</t>
  </si>
  <si>
    <t>1.2</t>
  </si>
  <si>
    <t>Duy tu, sửa chữa đường bản Lé Xôm, bản Én Pậu</t>
  </si>
  <si>
    <t>Tiểu DA 2: Triển khai Đề án hỗ trợ một số huyện nghèo thoát khỏi tình trạng nghèo, ĐBKK gđ 2022-2025 do TTCP phê duyệt</t>
  </si>
  <si>
    <t>2.1</t>
  </si>
  <si>
    <t xml:space="preserve">Trung tâm văn hóa huyện Tuần Giáo     </t>
  </si>
  <si>
    <t>2.2</t>
  </si>
  <si>
    <t>2.3</t>
  </si>
  <si>
    <t>2.4</t>
  </si>
  <si>
    <t>Đường liên xã Rạng Đông - Nà Tòng</t>
  </si>
  <si>
    <t>IV</t>
  </si>
  <si>
    <t>V</t>
  </si>
  <si>
    <t>VI</t>
  </si>
  <si>
    <t>VII</t>
  </si>
  <si>
    <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</si>
</sst>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00\ _₫_-;\-* #,##0.00\ _₫_-;_-* \-??\ _₫_-;_-@_-"/>
    <numFmt numFmtId="167" formatCode="_-* #,##0\ _₫_-;\-* #,##0\ _₫_-;_-* \-??\ _₫_-;_-@_-"/>
    <numFmt numFmtId="168" formatCode="#,##0.000;[Red]#,##0.000"/>
    <numFmt numFmtId="169" formatCode="#,##0.00;[Red]#,##0.00"/>
    <numFmt numFmtId="170" formatCode="#,##0.000"/>
    <numFmt numFmtId="171" formatCode="#,##0.0"/>
    <numFmt numFmtId="172" formatCode="0.000"/>
    <numFmt numFmtId="173" formatCode="#,##0;[Red]#,##0"/>
    <numFmt numFmtId="174" formatCode="0.0"/>
    <numFmt numFmtId="175" formatCode="_-* #,##0.00\ _₫_-;\-* #,##0.00\ _₫_-;_-* &quot;-&quot;??\ _₫_-;_-@_-"/>
    <numFmt numFmtId="176" formatCode="_-* #,##0.000\ _₫_-;\-* #,##0.000\ _₫_-;_-* &quot;-&quot;??\ _₫_-;_-@_-"/>
    <numFmt numFmtId="177" formatCode="_-* #,##0.000\ _₫_-;\-* #,##0.000\ _₫_-;_-* \-??\ _₫_-;_-@_-"/>
    <numFmt numFmtId="178" formatCode="_-* #,##0.0\ _₫_-;\-* #,##0.0\ _₫_-;_-* \-??\ _₫_-;_-@_-"/>
    <numFmt numFmtId="179" formatCode="_(* #,##0.000_);_(* \(#,##0.000\);_(* &quot;-&quot;???_);_(@_)"/>
    <numFmt numFmtId="180" formatCode="#,##0.0000"/>
    <numFmt numFmtId="181" formatCode="#,##0.00000"/>
    <numFmt numFmtId="182" formatCode="_-* #,##0\ _₫_-;\-* #,##0\ _₫_-;_-* &quot;-&quot;??\ _₫_-;_-@_-"/>
    <numFmt numFmtId="183" formatCode="0.000000"/>
    <numFmt numFmtId="184" formatCode="0.00000"/>
    <numFmt numFmtId="185" formatCode="0.0000"/>
    <numFmt numFmtId="186" formatCode="_-* #,##0_-;\-* #,##0_-;_-* &quot;-&quot;_-;_-@_-"/>
    <numFmt numFmtId="187" formatCode="_-* #,##0.00_-;\-* #,##0.00_-;_-* &quot;-&quot;??_-;_-@_-"/>
    <numFmt numFmtId="188" formatCode="_-* #,##0.0\ _₫_-;\-* #,##0.0\ _₫_-;_-* &quot;-&quot;??\ _₫_-;_-@_-"/>
    <numFmt numFmtId="189" formatCode="_-* #,##0.0000\ _₫_-;\-* #,##0.0000\ _₫_-;_-* \-??\ _₫_-;_-@_-"/>
    <numFmt numFmtId="190" formatCode="_-* #,##0.00000\ _₫_-;\-* #,##0.00000\ _₫_-;_-* \-??\ _₫_-;_-@_-"/>
    <numFmt numFmtId="191" formatCode="0.0000000"/>
    <numFmt numFmtId="192" formatCode="0.00000000"/>
    <numFmt numFmtId="193" formatCode="#,##0.000000"/>
    <numFmt numFmtId="194" formatCode="_(* #,##0.0000000_);_(* \(#,##0.0000000\);_(* &quot;-&quot;??_);_(@_)"/>
  </numFmts>
  <fonts count="129">
    <font>
      <sz val="10"/>
      <name val="Arial"/>
      <family val="2"/>
    </font>
    <font>
      <b/>
      <sz val="12"/>
      <name val="Times New Roman"/>
      <family val="1"/>
    </font>
    <font>
      <b/>
      <sz val="10"/>
      <name val="Times New Roman"/>
      <family val="1"/>
    </font>
    <font>
      <sz val="10"/>
      <name val="Times New Roman"/>
      <family val="1"/>
    </font>
    <font>
      <b/>
      <sz val="10"/>
      <color indexed="8"/>
      <name val="Times New Roman"/>
      <family val="1"/>
    </font>
    <font>
      <sz val="12"/>
      <name val="Times New Roman"/>
      <family val="1"/>
    </font>
    <font>
      <sz val="12"/>
      <color indexed="8"/>
      <name val="Times New Roman"/>
      <family val="1"/>
    </font>
    <font>
      <b/>
      <sz val="12"/>
      <color indexed="8"/>
      <name val="Times New Roman"/>
      <family val="1"/>
    </font>
    <font>
      <b/>
      <sz val="14"/>
      <color indexed="8"/>
      <name val="Times New Roman"/>
      <family val="1"/>
    </font>
    <font>
      <i/>
      <sz val="14"/>
      <color indexed="8"/>
      <name val="Times New Roman"/>
      <family val="1"/>
    </font>
    <font>
      <b/>
      <sz val="11"/>
      <name val="Times New Roman"/>
      <family val="1"/>
    </font>
    <font>
      <b/>
      <sz val="11"/>
      <color indexed="8"/>
      <name val="Times New Roman"/>
      <family val="1"/>
    </font>
    <font>
      <b/>
      <sz val="14"/>
      <name val="Times New Roman"/>
      <family val="1"/>
    </font>
    <font>
      <i/>
      <sz val="14"/>
      <name val="Times New Roman"/>
      <family val="1"/>
    </font>
    <font>
      <sz val="11"/>
      <color indexed="8"/>
      <name val="Calibri"/>
      <family val="2"/>
    </font>
    <font>
      <i/>
      <sz val="10"/>
      <name val="Times New Roman"/>
      <family val="1"/>
    </font>
    <font>
      <b/>
      <sz val="9"/>
      <name val="Times New Roman"/>
      <family val="1"/>
    </font>
    <font>
      <i/>
      <sz val="10"/>
      <color indexed="8"/>
      <name val="Times New Roman"/>
      <family val="1"/>
    </font>
    <font>
      <i/>
      <sz val="9"/>
      <name val="Times New Roman"/>
      <family val="1"/>
    </font>
    <font>
      <sz val="13"/>
      <name val="Times New Roman"/>
      <family val="1"/>
    </font>
    <font>
      <b/>
      <sz val="13"/>
      <name val="Times New Roman"/>
      <family val="1"/>
    </font>
    <font>
      <i/>
      <sz val="13"/>
      <name val="Times New Roman"/>
      <family val="1"/>
    </font>
    <font>
      <b/>
      <i/>
      <sz val="12"/>
      <name val="Times New Roman"/>
      <family val="1"/>
    </font>
    <font>
      <u val="single"/>
      <sz val="12"/>
      <name val="Times New Roman"/>
      <family val="1"/>
    </font>
    <font>
      <sz val="11"/>
      <name val="Times New Roman"/>
      <family val="1"/>
    </font>
    <font>
      <i/>
      <sz val="12"/>
      <name val="Times New Roman"/>
      <family val="1"/>
    </font>
    <font>
      <b/>
      <sz val="10.5"/>
      <name val="Times New Roman"/>
      <family val="1"/>
    </font>
    <font>
      <b/>
      <i/>
      <sz val="10"/>
      <name val="Times New Roman"/>
      <family val="1"/>
    </font>
    <font>
      <i/>
      <sz val="11"/>
      <name val="Times New Roman"/>
      <family val="1"/>
    </font>
    <font>
      <sz val="12"/>
      <name val=".VnTime"/>
      <family val="2"/>
    </font>
    <font>
      <sz val="12"/>
      <color indexed="8"/>
      <name val=".VnTime"/>
      <family val="2"/>
    </font>
    <font>
      <sz val="9"/>
      <name val="Times New Roman"/>
      <family val="1"/>
    </font>
    <font>
      <sz val="9"/>
      <color indexed="8"/>
      <name val="Times New Roman"/>
      <family val="1"/>
    </font>
    <font>
      <sz val="11"/>
      <color indexed="8"/>
      <name val="Times New Roman"/>
      <family val="2"/>
    </font>
    <font>
      <b/>
      <i/>
      <sz val="11"/>
      <name val="Times New Roman"/>
      <family val="1"/>
    </font>
    <font>
      <sz val="14"/>
      <name val="Times New Roman"/>
      <family val="1"/>
    </font>
    <font>
      <b/>
      <sz val="9"/>
      <color indexed="8"/>
      <name val="Times New Roman"/>
      <family val="1"/>
    </font>
    <font>
      <b/>
      <i/>
      <sz val="13"/>
      <name val="Times New Roman"/>
      <family val="1"/>
    </font>
    <font>
      <b/>
      <i/>
      <sz val="9"/>
      <color indexed="8"/>
      <name val="Times New Roman"/>
      <family val="1"/>
    </font>
    <font>
      <b/>
      <sz val="8.5"/>
      <name val="Times New Roman"/>
      <family val="1"/>
    </font>
    <font>
      <sz val="8"/>
      <color indexed="8"/>
      <name val="Times New Roman"/>
      <family val="1"/>
    </font>
    <font>
      <b/>
      <sz val="8.5"/>
      <color indexed="8"/>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2"/>
      <color indexed="56"/>
      <name val="Times New Roman"/>
      <family val="1"/>
    </font>
    <font>
      <b/>
      <sz val="12"/>
      <color indexed="56"/>
      <name val="Times New Roman"/>
      <family val="1"/>
    </font>
    <font>
      <b/>
      <sz val="11"/>
      <color indexed="56"/>
      <name val="Times New Roman"/>
      <family val="1"/>
    </font>
    <font>
      <b/>
      <sz val="10"/>
      <color indexed="56"/>
      <name val="Times New Roman"/>
      <family val="1"/>
    </font>
    <font>
      <sz val="10"/>
      <color indexed="56"/>
      <name val="Times New Roman"/>
      <family val="1"/>
    </font>
    <font>
      <i/>
      <sz val="10"/>
      <color indexed="56"/>
      <name val="Times New Roman"/>
      <family val="1"/>
    </font>
    <font>
      <b/>
      <sz val="12"/>
      <color indexed="10"/>
      <name val="Times New Roman"/>
      <family val="1"/>
    </font>
    <font>
      <b/>
      <sz val="10"/>
      <color indexed="10"/>
      <name val="Times New Roman"/>
      <family val="1"/>
    </font>
    <font>
      <b/>
      <i/>
      <sz val="10"/>
      <color indexed="10"/>
      <name val="Times New Roman"/>
      <family val="1"/>
    </font>
    <font>
      <b/>
      <i/>
      <sz val="12"/>
      <color indexed="10"/>
      <name val="Times New Roman"/>
      <family val="1"/>
    </font>
    <font>
      <sz val="14"/>
      <color indexed="8"/>
      <name val="Times New Roman"/>
      <family val="1"/>
    </font>
    <font>
      <sz val="12"/>
      <color indexed="10"/>
      <name val="Times New Roman"/>
      <family val="1"/>
    </font>
    <font>
      <sz val="14"/>
      <color indexed="10"/>
      <name val="Times New Roman"/>
      <family val="1"/>
    </font>
    <font>
      <sz val="9"/>
      <color indexed="8"/>
      <name val="Calibri"/>
      <family val="2"/>
    </font>
    <font>
      <sz val="12"/>
      <color indexed="8"/>
      <name val="Calibri"/>
      <family val="2"/>
    </font>
    <font>
      <b/>
      <sz val="12"/>
      <color indexed="8"/>
      <name val="Calibri"/>
      <family val="2"/>
    </font>
    <font>
      <sz val="11"/>
      <name val="Calibri"/>
      <family val="2"/>
    </font>
    <font>
      <i/>
      <sz val="11"/>
      <color indexed="8"/>
      <name val="Calibri"/>
      <family val="2"/>
    </font>
    <font>
      <b/>
      <i/>
      <sz val="11"/>
      <color indexed="8"/>
      <name val="Times New Roman"/>
      <family val="1"/>
    </font>
    <font>
      <sz val="10"/>
      <color indexed="8"/>
      <name val="Times New Roman"/>
      <family val="1"/>
    </font>
    <font>
      <b/>
      <sz val="14"/>
      <color indexed="56"/>
      <name val="Times New Roman"/>
      <family val="1"/>
    </font>
    <font>
      <i/>
      <sz val="14"/>
      <color indexed="56"/>
      <name val="Times New Roman"/>
      <family val="1"/>
    </font>
    <font>
      <b/>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2060"/>
      <name val="Times New Roman"/>
      <family val="1"/>
    </font>
    <font>
      <b/>
      <sz val="12"/>
      <color rgb="FF002060"/>
      <name val="Times New Roman"/>
      <family val="1"/>
    </font>
    <font>
      <b/>
      <sz val="11"/>
      <color rgb="FF002060"/>
      <name val="Times New Roman"/>
      <family val="1"/>
    </font>
    <font>
      <b/>
      <sz val="10"/>
      <color rgb="FF002060"/>
      <name val="Times New Roman"/>
      <family val="1"/>
    </font>
    <font>
      <sz val="10"/>
      <color rgb="FF002060"/>
      <name val="Times New Roman"/>
      <family val="1"/>
    </font>
    <font>
      <i/>
      <sz val="10"/>
      <color rgb="FF002060"/>
      <name val="Times New Roman"/>
      <family val="1"/>
    </font>
    <font>
      <b/>
      <sz val="12"/>
      <color rgb="FFFF0000"/>
      <name val="Times New Roman"/>
      <family val="1"/>
    </font>
    <font>
      <b/>
      <sz val="10"/>
      <color rgb="FFFF0000"/>
      <name val="Times New Roman"/>
      <family val="1"/>
    </font>
    <font>
      <b/>
      <sz val="10"/>
      <color theme="1"/>
      <name val="Times New Roman"/>
      <family val="1"/>
    </font>
    <font>
      <b/>
      <i/>
      <sz val="10"/>
      <color rgb="FFFF0000"/>
      <name val="Times New Roman"/>
      <family val="1"/>
    </font>
    <font>
      <b/>
      <i/>
      <sz val="12"/>
      <color rgb="FFFF0000"/>
      <name val="Times New Roman"/>
      <family val="1"/>
    </font>
    <font>
      <sz val="14"/>
      <color theme="1"/>
      <name val="Times New Roman"/>
      <family val="1"/>
    </font>
    <font>
      <b/>
      <sz val="14"/>
      <color theme="1"/>
      <name val="Times New Roman"/>
      <family val="1"/>
    </font>
    <font>
      <sz val="12"/>
      <color rgb="FFFF0000"/>
      <name val="Times New Roman"/>
      <family val="1"/>
    </font>
    <font>
      <sz val="12"/>
      <color theme="1"/>
      <name val="Times New Roman"/>
      <family val="1"/>
    </font>
    <font>
      <sz val="14"/>
      <color rgb="FFFF0000"/>
      <name val="Times New Roman"/>
      <family val="1"/>
    </font>
    <font>
      <sz val="9"/>
      <color theme="1"/>
      <name val="Calibri"/>
      <family val="2"/>
    </font>
    <font>
      <sz val="12"/>
      <color theme="1"/>
      <name val="Calibri"/>
      <family val="2"/>
    </font>
    <font>
      <b/>
      <sz val="12"/>
      <color theme="1"/>
      <name val="Calibri"/>
      <family val="2"/>
    </font>
    <font>
      <b/>
      <sz val="12"/>
      <color theme="1"/>
      <name val="Times New Roman"/>
      <family val="1"/>
    </font>
    <font>
      <i/>
      <sz val="11"/>
      <color theme="1"/>
      <name val="Calibri"/>
      <family val="2"/>
    </font>
    <font>
      <b/>
      <i/>
      <sz val="9"/>
      <color theme="1"/>
      <name val="Times New Roman"/>
      <family val="1"/>
    </font>
    <font>
      <b/>
      <i/>
      <sz val="11"/>
      <color theme="1"/>
      <name val="Times New Roman"/>
      <family val="1"/>
    </font>
    <font>
      <b/>
      <sz val="9"/>
      <color theme="1"/>
      <name val="Times New Roman"/>
      <family val="1"/>
    </font>
    <font>
      <sz val="9"/>
      <color theme="1"/>
      <name val="Times New Roman"/>
      <family val="1"/>
    </font>
    <font>
      <sz val="10"/>
      <color theme="1"/>
      <name val="Times New Roman"/>
      <family val="1"/>
    </font>
    <font>
      <b/>
      <sz val="14"/>
      <color rgb="FF002060"/>
      <name val="Times New Roman"/>
      <family val="1"/>
    </font>
    <font>
      <i/>
      <sz val="14"/>
      <color rgb="FF002060"/>
      <name val="Times New Roman"/>
      <family val="1"/>
    </font>
    <font>
      <b/>
      <sz val="11"/>
      <color theme="1"/>
      <name val="Times New Roman"/>
      <family val="1"/>
    </font>
    <font>
      <b/>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color indexed="63"/>
      </right>
      <top style="thin">
        <color indexed="8"/>
      </top>
      <bottom>
        <color indexed="63"/>
      </bottom>
    </border>
    <border>
      <left style="thin"/>
      <right style="thin"/>
      <top style="hair"/>
      <bottom style="hair"/>
    </border>
    <border>
      <left style="thin"/>
      <right style="thin"/>
      <top style="hair"/>
      <bottom/>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bottom style="hair"/>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right/>
      <top style="thin"/>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166" fontId="0" fillId="0" borderId="0" applyFill="0" applyBorder="0" applyProtection="0">
      <alignment/>
    </xf>
    <xf numFmtId="41" fontId="0" fillId="0" borderId="0" applyFill="0" applyBorder="0" applyAlignment="0" applyProtection="0"/>
    <xf numFmtId="0" fontId="0" fillId="0" borderId="0" applyFont="0" applyFill="0" applyBorder="0" applyAlignment="0" applyProtection="0"/>
    <xf numFmtId="187" fontId="29" fillId="0" borderId="0" applyFont="0" applyFill="0" applyBorder="0" applyAlignment="0" applyProtection="0"/>
    <xf numFmtId="0" fontId="0" fillId="0" borderId="0" applyFont="0" applyFill="0" applyBorder="0" applyAlignment="0" applyProtection="0"/>
    <xf numFmtId="187" fontId="0" fillId="0" borderId="0" applyFont="0" applyFill="0" applyBorder="0" applyAlignment="0" applyProtection="0"/>
    <xf numFmtId="186" fontId="14" fillId="0" borderId="0" applyFont="0" applyFill="0" applyBorder="0" applyAlignment="0" applyProtection="0"/>
    <xf numFmtId="175" fontId="82" fillId="0" borderId="0" applyFont="0" applyFill="0" applyBorder="0" applyAlignment="0" applyProtection="0"/>
    <xf numFmtId="0" fontId="29" fillId="0" borderId="0" applyFont="0" applyFill="0" applyBorder="0" applyAlignment="0" applyProtection="0"/>
    <xf numFmtId="187" fontId="14" fillId="0" borderId="0" applyFont="0" applyFill="0" applyBorder="0" applyAlignment="0" applyProtection="0"/>
    <xf numFmtId="182" fontId="82" fillId="0" borderId="0" applyFont="0" applyFill="0" applyBorder="0" applyAlignment="0" applyProtection="0"/>
    <xf numFmtId="187" fontId="29" fillId="0" borderId="0" applyFont="0" applyFill="0" applyBorder="0" applyAlignment="0" applyProtection="0"/>
    <xf numFmtId="187" fontId="33"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14" fillId="0" borderId="0">
      <alignment/>
      <protection/>
    </xf>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82"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30" fillId="0" borderId="0">
      <alignment/>
      <protection/>
    </xf>
    <xf numFmtId="0" fontId="14" fillId="0" borderId="0">
      <alignment/>
      <protection/>
    </xf>
    <xf numFmtId="0" fontId="0" fillId="0" borderId="0">
      <alignment/>
      <protection/>
    </xf>
    <xf numFmtId="0" fontId="14" fillId="0" borderId="0">
      <alignment/>
      <protection/>
    </xf>
    <xf numFmtId="0" fontId="82"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82" fillId="0" borderId="0">
      <alignment/>
      <protection/>
    </xf>
    <xf numFmtId="0" fontId="33" fillId="0" borderId="0">
      <alignment/>
      <protection/>
    </xf>
    <xf numFmtId="0" fontId="82"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ill="0" applyBorder="0" applyProtection="0">
      <alignment/>
    </xf>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742">
    <xf numFmtId="0" fontId="0" fillId="0" borderId="0" xfId="0" applyAlignment="1">
      <alignment/>
    </xf>
    <xf numFmtId="0" fontId="6" fillId="0" borderId="0" xfId="0" applyFont="1" applyAlignment="1">
      <alignment/>
    </xf>
    <xf numFmtId="0" fontId="6" fillId="0" borderId="0" xfId="0" applyFont="1" applyAlignment="1">
      <alignment wrapText="1"/>
    </xf>
    <xf numFmtId="0" fontId="6" fillId="33" borderId="0" xfId="0" applyFont="1" applyFill="1" applyAlignment="1">
      <alignment/>
    </xf>
    <xf numFmtId="0" fontId="5" fillId="0" borderId="0" xfId="0" applyFont="1" applyAlignment="1">
      <alignment/>
    </xf>
    <xf numFmtId="0" fontId="6" fillId="0" borderId="0" xfId="0" applyFont="1" applyAlignment="1">
      <alignment vertical="center"/>
    </xf>
    <xf numFmtId="0" fontId="10" fillId="0" borderId="10"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33"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1" fillId="0" borderId="12" xfId="0" applyFont="1" applyBorder="1" applyAlignment="1">
      <alignment vertical="center" wrapText="1"/>
    </xf>
    <xf numFmtId="3" fontId="1" fillId="0" borderId="12" xfId="0" applyNumberFormat="1" applyFont="1" applyBorder="1" applyAlignment="1">
      <alignment vertical="center" wrapText="1"/>
    </xf>
    <xf numFmtId="3" fontId="1" fillId="0" borderId="0" xfId="0" applyNumberFormat="1" applyFont="1" applyAlignment="1">
      <alignment vertical="center" wrapText="1"/>
    </xf>
    <xf numFmtId="4" fontId="1" fillId="0" borderId="0" xfId="0" applyNumberFormat="1" applyFont="1" applyAlignment="1">
      <alignment vertical="center" wrapText="1"/>
    </xf>
    <xf numFmtId="0" fontId="7" fillId="0" borderId="0" xfId="0" applyFont="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3" fontId="5" fillId="0" borderId="13" xfId="42" applyNumberFormat="1" applyFont="1" applyFill="1" applyBorder="1" applyAlignment="1" applyProtection="1">
      <alignment horizontal="right" vertical="center" wrapText="1"/>
      <protection/>
    </xf>
    <xf numFmtId="4" fontId="5" fillId="33" borderId="13" xfId="42" applyNumberFormat="1" applyFont="1" applyFill="1" applyBorder="1" applyAlignment="1" applyProtection="1">
      <alignment horizontal="right" vertical="center" wrapText="1"/>
      <protection/>
    </xf>
    <xf numFmtId="2" fontId="5" fillId="0" borderId="13" xfId="0" applyNumberFormat="1" applyFont="1" applyBorder="1" applyAlignment="1">
      <alignment vertical="center" wrapText="1"/>
    </xf>
    <xf numFmtId="1" fontId="5" fillId="0" borderId="13" xfId="0" applyNumberFormat="1" applyFont="1" applyBorder="1" applyAlignment="1">
      <alignment horizontal="right" vertical="center" wrapText="1"/>
    </xf>
    <xf numFmtId="3" fontId="5" fillId="0" borderId="13" xfId="0" applyNumberFormat="1" applyFont="1" applyBorder="1" applyAlignment="1">
      <alignment horizontal="right" vertical="center" wrapText="1"/>
    </xf>
    <xf numFmtId="4" fontId="5" fillId="0" borderId="13" xfId="42" applyNumberFormat="1" applyFont="1" applyFill="1" applyBorder="1" applyAlignment="1" applyProtection="1">
      <alignment horizontal="right" vertical="center" wrapText="1"/>
      <protection/>
    </xf>
    <xf numFmtId="0" fontId="7" fillId="0" borderId="14" xfId="0" applyFont="1" applyBorder="1" applyAlignment="1">
      <alignment horizontal="center" vertical="center" wrapText="1"/>
    </xf>
    <xf numFmtId="0" fontId="2" fillId="0" borderId="14" xfId="0" applyFont="1" applyBorder="1" applyAlignment="1">
      <alignment vertical="center" wrapText="1"/>
    </xf>
    <xf numFmtId="3" fontId="7" fillId="0" borderId="14" xfId="42" applyNumberFormat="1" applyFont="1" applyFill="1" applyBorder="1" applyAlignment="1" applyProtection="1">
      <alignment horizontal="right" vertical="center" wrapText="1"/>
      <protection/>
    </xf>
    <xf numFmtId="3" fontId="7" fillId="33" borderId="14" xfId="42" applyNumberFormat="1" applyFont="1" applyFill="1" applyBorder="1" applyAlignment="1" applyProtection="1">
      <alignment horizontal="right" vertical="center" wrapText="1"/>
      <protection/>
    </xf>
    <xf numFmtId="10" fontId="7" fillId="33" borderId="14" xfId="86" applyNumberFormat="1" applyFont="1" applyFill="1" applyBorder="1" applyAlignment="1" applyProtection="1">
      <alignment vertical="center" wrapText="1"/>
      <protection/>
    </xf>
    <xf numFmtId="2" fontId="7" fillId="33" borderId="14" xfId="0" applyNumberFormat="1" applyFont="1" applyFill="1" applyBorder="1" applyAlignment="1">
      <alignment vertical="center" wrapText="1"/>
    </xf>
    <xf numFmtId="2" fontId="7" fillId="0" borderId="14" xfId="0" applyNumberFormat="1" applyFont="1" applyBorder="1" applyAlignment="1">
      <alignment vertical="center" wrapText="1"/>
    </xf>
    <xf numFmtId="1" fontId="7" fillId="0" borderId="14" xfId="0" applyNumberFormat="1" applyFont="1" applyBorder="1" applyAlignment="1">
      <alignment horizontal="center" vertical="center" wrapText="1"/>
    </xf>
    <xf numFmtId="0" fontId="7" fillId="0" borderId="0" xfId="0" applyFont="1" applyAlignment="1">
      <alignment/>
    </xf>
    <xf numFmtId="0" fontId="10" fillId="33" borderId="10" xfId="0" applyFont="1" applyFill="1" applyBorder="1" applyAlignment="1">
      <alignment horizontal="center" vertical="center" wrapText="1"/>
    </xf>
    <xf numFmtId="170" fontId="1" fillId="0" borderId="0" xfId="0" applyNumberFormat="1" applyFont="1" applyAlignment="1">
      <alignment vertical="center" wrapText="1"/>
    </xf>
    <xf numFmtId="167" fontId="5" fillId="33" borderId="13" xfId="42" applyNumberFormat="1" applyFont="1" applyFill="1" applyBorder="1" applyAlignment="1" applyProtection="1">
      <alignment horizontal="right" vertical="center" wrapText="1"/>
      <protection/>
    </xf>
    <xf numFmtId="2" fontId="5" fillId="33" borderId="13" xfId="0" applyNumberFormat="1" applyFont="1" applyFill="1" applyBorder="1" applyAlignment="1">
      <alignment horizontal="right" vertical="center" wrapText="1"/>
    </xf>
    <xf numFmtId="2" fontId="5" fillId="0" borderId="13" xfId="0" applyNumberFormat="1" applyFont="1" applyBorder="1" applyAlignment="1">
      <alignment horizontal="right" vertical="center" wrapText="1"/>
    </xf>
    <xf numFmtId="3" fontId="5" fillId="0" borderId="13" xfId="0" applyNumberFormat="1" applyFont="1" applyBorder="1" applyAlignment="1">
      <alignment vertical="center" wrapText="1"/>
    </xf>
    <xf numFmtId="0" fontId="5" fillId="0" borderId="15" xfId="0" applyFont="1" applyBorder="1" applyAlignment="1">
      <alignment horizontal="center" vertical="center" wrapText="1"/>
    </xf>
    <xf numFmtId="4" fontId="5" fillId="0" borderId="15" xfId="42" applyNumberFormat="1" applyFont="1" applyFill="1" applyBorder="1" applyAlignment="1" applyProtection="1">
      <alignment horizontal="right" vertical="center" wrapText="1"/>
      <protection/>
    </xf>
    <xf numFmtId="4" fontId="5" fillId="33" borderId="15" xfId="42" applyNumberFormat="1" applyFont="1" applyFill="1" applyBorder="1" applyAlignment="1" applyProtection="1">
      <alignment horizontal="right" vertical="center" wrapText="1"/>
      <protection/>
    </xf>
    <xf numFmtId="167" fontId="5" fillId="33" borderId="15" xfId="42" applyNumberFormat="1" applyFont="1" applyFill="1" applyBorder="1" applyAlignment="1" applyProtection="1">
      <alignment horizontal="right" vertical="center" wrapText="1"/>
      <protection/>
    </xf>
    <xf numFmtId="2" fontId="5" fillId="33" borderId="15" xfId="0" applyNumberFormat="1" applyFont="1" applyFill="1" applyBorder="1" applyAlignment="1">
      <alignment horizontal="right" vertical="center" wrapText="1"/>
    </xf>
    <xf numFmtId="1" fontId="5" fillId="0" borderId="15" xfId="0" applyNumberFormat="1" applyFont="1" applyBorder="1" applyAlignment="1">
      <alignment horizontal="right" vertical="center" wrapText="1"/>
    </xf>
    <xf numFmtId="0" fontId="1" fillId="0" borderId="14" xfId="0" applyFont="1" applyBorder="1" applyAlignment="1">
      <alignment horizontal="center" vertical="center" wrapText="1"/>
    </xf>
    <xf numFmtId="0" fontId="2" fillId="0" borderId="14" xfId="0" applyFont="1" applyBorder="1" applyAlignment="1">
      <alignment vertical="center" wrapText="1"/>
    </xf>
    <xf numFmtId="3" fontId="1" fillId="0" borderId="14" xfId="42" applyNumberFormat="1" applyFont="1" applyFill="1" applyBorder="1" applyAlignment="1" applyProtection="1">
      <alignment horizontal="right" vertical="center" wrapText="1"/>
      <protection/>
    </xf>
    <xf numFmtId="3" fontId="1" fillId="33" borderId="14" xfId="42" applyNumberFormat="1" applyFont="1" applyFill="1" applyBorder="1" applyAlignment="1" applyProtection="1">
      <alignment horizontal="right" vertical="center" wrapText="1"/>
      <protection/>
    </xf>
    <xf numFmtId="10" fontId="1" fillId="33" borderId="14" xfId="86" applyNumberFormat="1" applyFont="1" applyFill="1" applyBorder="1" applyAlignment="1" applyProtection="1">
      <alignment vertical="center" wrapText="1"/>
      <protection/>
    </xf>
    <xf numFmtId="2" fontId="1" fillId="33" borderId="14" xfId="0" applyNumberFormat="1" applyFont="1" applyFill="1" applyBorder="1" applyAlignment="1">
      <alignment vertical="center" wrapText="1"/>
    </xf>
    <xf numFmtId="2" fontId="1" fillId="0" borderId="14" xfId="0" applyNumberFormat="1" applyFont="1" applyBorder="1" applyAlignment="1">
      <alignment vertical="center" wrapText="1"/>
    </xf>
    <xf numFmtId="1" fontId="1" fillId="0" borderId="14" xfId="0" applyNumberFormat="1" applyFont="1" applyBorder="1" applyAlignment="1">
      <alignment horizontal="center" vertical="center" wrapText="1"/>
    </xf>
    <xf numFmtId="171" fontId="5" fillId="0" borderId="14" xfId="0" applyNumberFormat="1" applyFont="1" applyBorder="1" applyAlignment="1">
      <alignment horizontal="right" vertical="center" wrapText="1"/>
    </xf>
    <xf numFmtId="0" fontId="1" fillId="0" borderId="0" xfId="0" applyFont="1" applyAlignment="1">
      <alignment/>
    </xf>
    <xf numFmtId="0" fontId="11" fillId="0" borderId="10" xfId="0" applyFont="1" applyBorder="1" applyAlignment="1">
      <alignment horizontal="center" vertical="center" wrapText="1"/>
    </xf>
    <xf numFmtId="0" fontId="11" fillId="33"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3" fontId="1" fillId="0" borderId="13" xfId="0" applyNumberFormat="1" applyFont="1" applyBorder="1" applyAlignment="1">
      <alignment vertical="center" wrapText="1"/>
    </xf>
    <xf numFmtId="170" fontId="7" fillId="0" borderId="0" xfId="0" applyNumberFormat="1" applyFont="1" applyAlignment="1">
      <alignment vertical="center" wrapText="1"/>
    </xf>
    <xf numFmtId="0" fontId="1" fillId="0" borderId="16" xfId="0" applyFont="1" applyBorder="1" applyAlignment="1">
      <alignment vertical="center" wrapText="1"/>
    </xf>
    <xf numFmtId="3" fontId="1" fillId="0" borderId="16" xfId="0" applyNumberFormat="1" applyFont="1" applyBorder="1" applyAlignment="1">
      <alignment vertical="center" wrapText="1"/>
    </xf>
    <xf numFmtId="0" fontId="5" fillId="0" borderId="16" xfId="0" applyFont="1" applyBorder="1" applyAlignment="1">
      <alignment vertical="center" wrapText="1"/>
    </xf>
    <xf numFmtId="3" fontId="5" fillId="0" borderId="16" xfId="0" applyNumberFormat="1" applyFont="1" applyBorder="1" applyAlignment="1">
      <alignment vertical="center" wrapText="1"/>
    </xf>
    <xf numFmtId="170" fontId="6" fillId="0" borderId="0" xfId="0" applyNumberFormat="1" applyFont="1" applyAlignment="1">
      <alignment vertical="center" wrapText="1"/>
    </xf>
    <xf numFmtId="0" fontId="6" fillId="0" borderId="0" xfId="0" applyFont="1" applyAlignment="1">
      <alignment vertical="center" wrapText="1"/>
    </xf>
    <xf numFmtId="4" fontId="1" fillId="0" borderId="16" xfId="0" applyNumberFormat="1" applyFont="1" applyBorder="1" applyAlignment="1">
      <alignment vertical="center" wrapText="1"/>
    </xf>
    <xf numFmtId="173" fontId="5" fillId="0" borderId="13" xfId="0" applyNumberFormat="1" applyFont="1" applyBorder="1" applyAlignment="1">
      <alignment horizontal="right" vertical="center" wrapText="1"/>
    </xf>
    <xf numFmtId="173" fontId="5" fillId="0" borderId="13" xfId="0" applyNumberFormat="1" applyFont="1" applyBorder="1" applyAlignment="1">
      <alignment vertical="center" wrapText="1"/>
    </xf>
    <xf numFmtId="0" fontId="11" fillId="33" borderId="11" xfId="0" applyFont="1" applyFill="1" applyBorder="1" applyAlignment="1">
      <alignment horizontal="center" vertical="center" wrapText="1"/>
    </xf>
    <xf numFmtId="4" fontId="5" fillId="0" borderId="16" xfId="0" applyNumberFormat="1" applyFont="1" applyBorder="1" applyAlignment="1">
      <alignment vertical="center" wrapText="1"/>
    </xf>
    <xf numFmtId="173" fontId="5" fillId="0" borderId="13" xfId="0" applyNumberFormat="1" applyFont="1" applyFill="1" applyBorder="1" applyAlignment="1">
      <alignment vertical="center" wrapText="1"/>
    </xf>
    <xf numFmtId="173" fontId="1" fillId="0" borderId="14" xfId="0" applyNumberFormat="1" applyFont="1" applyBorder="1" applyAlignment="1">
      <alignment vertical="center" wrapText="1"/>
    </xf>
    <xf numFmtId="0" fontId="5" fillId="0" borderId="0" xfId="0" applyFont="1" applyAlignment="1">
      <alignment wrapText="1"/>
    </xf>
    <xf numFmtId="0" fontId="5" fillId="33" borderId="0" xfId="0" applyFont="1" applyFill="1" applyAlignment="1">
      <alignment/>
    </xf>
    <xf numFmtId="0" fontId="5" fillId="0" borderId="0" xfId="0" applyFont="1" applyAlignment="1">
      <alignment vertical="center"/>
    </xf>
    <xf numFmtId="3" fontId="1" fillId="0" borderId="0" xfId="0" applyNumberFormat="1" applyFont="1" applyAlignment="1">
      <alignment horizontal="center" vertical="center" wrapText="1"/>
    </xf>
    <xf numFmtId="4" fontId="5" fillId="0" borderId="13" xfId="0" applyNumberFormat="1" applyFont="1" applyBorder="1" applyAlignment="1">
      <alignment vertical="center" wrapText="1"/>
    </xf>
    <xf numFmtId="3" fontId="5" fillId="0" borderId="0" xfId="0" applyNumberFormat="1" applyFont="1" applyAlignment="1">
      <alignment vertical="center" wrapText="1"/>
    </xf>
    <xf numFmtId="4" fontId="5" fillId="0" borderId="0" xfId="0" applyNumberFormat="1" applyFont="1" applyAlignment="1">
      <alignment vertical="center" wrapText="1"/>
    </xf>
    <xf numFmtId="170" fontId="5" fillId="0" borderId="0" xfId="0" applyNumberFormat="1" applyFont="1" applyAlignment="1">
      <alignment vertical="center" wrapText="1"/>
    </xf>
    <xf numFmtId="0" fontId="5" fillId="0" borderId="0" xfId="0" applyFont="1" applyAlignment="1">
      <alignment vertical="center" wrapText="1"/>
    </xf>
    <xf numFmtId="4" fontId="1" fillId="0" borderId="13" xfId="0" applyNumberFormat="1" applyFont="1" applyBorder="1" applyAlignment="1">
      <alignment vertical="center" wrapText="1"/>
    </xf>
    <xf numFmtId="169" fontId="5" fillId="0" borderId="13" xfId="0" applyNumberFormat="1" applyFont="1" applyBorder="1" applyAlignment="1">
      <alignment horizontal="center" vertical="center" wrapText="1"/>
    </xf>
    <xf numFmtId="0" fontId="5" fillId="0" borderId="13" xfId="0" applyFont="1" applyBorder="1" applyAlignment="1">
      <alignment/>
    </xf>
    <xf numFmtId="0" fontId="1" fillId="0" borderId="13" xfId="0" applyFont="1" applyFill="1" applyBorder="1" applyAlignment="1">
      <alignment vertical="center" wrapText="1"/>
    </xf>
    <xf numFmtId="0" fontId="99" fillId="0" borderId="0" xfId="0" applyFont="1" applyAlignment="1">
      <alignment/>
    </xf>
    <xf numFmtId="0" fontId="99" fillId="0" borderId="0" xfId="0" applyFont="1" applyAlignment="1">
      <alignment wrapText="1"/>
    </xf>
    <xf numFmtId="0" fontId="99" fillId="33" borderId="0" xfId="0" applyFont="1" applyFill="1" applyAlignment="1">
      <alignment/>
    </xf>
    <xf numFmtId="0" fontId="99" fillId="0" borderId="0" xfId="0" applyFont="1" applyAlignment="1">
      <alignment vertical="center"/>
    </xf>
    <xf numFmtId="0" fontId="100" fillId="0" borderId="0" xfId="0" applyFont="1" applyAlignment="1">
      <alignment vertical="center" wrapText="1"/>
    </xf>
    <xf numFmtId="0" fontId="100" fillId="0" borderId="0" xfId="0" applyFont="1" applyAlignment="1">
      <alignment horizontal="center" vertical="center" wrapText="1"/>
    </xf>
    <xf numFmtId="0" fontId="101" fillId="0" borderId="0" xfId="0" applyFont="1" applyAlignment="1">
      <alignment vertical="center" wrapText="1"/>
    </xf>
    <xf numFmtId="0" fontId="101" fillId="0" borderId="0" xfId="0" applyFont="1" applyAlignment="1">
      <alignment horizontal="center" vertical="center" wrapText="1"/>
    </xf>
    <xf numFmtId="0" fontId="101" fillId="0" borderId="17" xfId="0" applyFont="1" applyBorder="1" applyAlignment="1">
      <alignment horizontal="center" vertical="center" wrapText="1"/>
    </xf>
    <xf numFmtId="0" fontId="101" fillId="33" borderId="17"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1" fillId="0" borderId="11" xfId="0" applyFont="1" applyBorder="1" applyAlignment="1">
      <alignment horizontal="center" vertical="center" wrapText="1"/>
    </xf>
    <xf numFmtId="0" fontId="100" fillId="0" borderId="11" xfId="0" applyFont="1" applyBorder="1" applyAlignment="1">
      <alignment horizontal="center" vertical="center" wrapText="1"/>
    </xf>
    <xf numFmtId="0" fontId="102" fillId="0" borderId="11" xfId="0" applyFont="1" applyBorder="1" applyAlignment="1">
      <alignment horizontal="center" vertical="center" wrapText="1"/>
    </xf>
    <xf numFmtId="0" fontId="102" fillId="33" borderId="11" xfId="0" applyFont="1" applyFill="1" applyBorder="1" applyAlignment="1">
      <alignment horizontal="center" vertical="center" wrapText="1"/>
    </xf>
    <xf numFmtId="0" fontId="102" fillId="33" borderId="10" xfId="0" applyFont="1" applyFill="1" applyBorder="1" applyAlignment="1">
      <alignment horizontal="center" vertical="center" wrapText="1"/>
    </xf>
    <xf numFmtId="0" fontId="102" fillId="0" borderId="10" xfId="0" applyFont="1" applyBorder="1" applyAlignment="1">
      <alignment horizontal="center" vertical="center" wrapText="1"/>
    </xf>
    <xf numFmtId="0" fontId="100" fillId="0" borderId="12" xfId="0" applyFont="1" applyBorder="1" applyAlignment="1">
      <alignment vertical="center" wrapText="1"/>
    </xf>
    <xf numFmtId="3" fontId="100" fillId="0" borderId="12" xfId="0" applyNumberFormat="1" applyFont="1" applyBorder="1" applyAlignment="1">
      <alignment vertical="center" wrapText="1"/>
    </xf>
    <xf numFmtId="3" fontId="100" fillId="0" borderId="0" xfId="0" applyNumberFormat="1" applyFont="1" applyAlignment="1">
      <alignment vertical="center" wrapText="1"/>
    </xf>
    <xf numFmtId="4" fontId="100" fillId="0" borderId="0" xfId="0" applyNumberFormat="1" applyFont="1" applyAlignment="1">
      <alignment vertical="center" wrapText="1"/>
    </xf>
    <xf numFmtId="0" fontId="99" fillId="0" borderId="13" xfId="0" applyFont="1" applyBorder="1" applyAlignment="1">
      <alignment horizontal="center" vertical="center" wrapText="1"/>
    </xf>
    <xf numFmtId="0" fontId="99" fillId="0" borderId="13" xfId="0" applyFont="1" applyBorder="1" applyAlignment="1">
      <alignment vertical="center" wrapText="1"/>
    </xf>
    <xf numFmtId="3" fontId="99" fillId="0" borderId="13" xfId="42" applyNumberFormat="1" applyFont="1" applyFill="1" applyBorder="1" applyAlignment="1" applyProtection="1">
      <alignment horizontal="right" vertical="center" wrapText="1"/>
      <protection/>
    </xf>
    <xf numFmtId="4" fontId="99" fillId="33" borderId="13" xfId="42" applyNumberFormat="1" applyFont="1" applyFill="1" applyBorder="1" applyAlignment="1" applyProtection="1">
      <alignment horizontal="right" vertical="center" wrapText="1"/>
      <protection/>
    </xf>
    <xf numFmtId="10" fontId="99" fillId="33" borderId="13" xfId="86" applyNumberFormat="1" applyFont="1" applyFill="1" applyBorder="1" applyAlignment="1" applyProtection="1">
      <alignment vertical="center" wrapText="1"/>
      <protection/>
    </xf>
    <xf numFmtId="2" fontId="99" fillId="33" borderId="13" xfId="0" applyNumberFormat="1" applyFont="1" applyFill="1" applyBorder="1" applyAlignment="1">
      <alignment vertical="center" wrapText="1"/>
    </xf>
    <xf numFmtId="3" fontId="99" fillId="33" borderId="13" xfId="42" applyNumberFormat="1" applyFont="1" applyFill="1" applyBorder="1" applyAlignment="1" applyProtection="1">
      <alignment horizontal="right" vertical="center" wrapText="1"/>
      <protection/>
    </xf>
    <xf numFmtId="2" fontId="99" fillId="0" borderId="13" xfId="0" applyNumberFormat="1" applyFont="1" applyBorder="1" applyAlignment="1">
      <alignment vertical="center" wrapText="1"/>
    </xf>
    <xf numFmtId="1" fontId="99" fillId="0" borderId="13" xfId="0" applyNumberFormat="1" applyFont="1" applyBorder="1" applyAlignment="1">
      <alignment horizontal="right" vertical="center" wrapText="1"/>
    </xf>
    <xf numFmtId="168" fontId="99" fillId="0" borderId="13" xfId="0" applyNumberFormat="1" applyFont="1" applyBorder="1" applyAlignment="1">
      <alignment vertical="center" wrapText="1"/>
    </xf>
    <xf numFmtId="3" fontId="99" fillId="0" borderId="13" xfId="0" applyNumberFormat="1" applyFont="1" applyBorder="1" applyAlignment="1">
      <alignment horizontal="right" vertical="center" wrapText="1"/>
    </xf>
    <xf numFmtId="1" fontId="99" fillId="0" borderId="13" xfId="0" applyNumberFormat="1" applyFont="1" applyBorder="1" applyAlignment="1">
      <alignment horizontal="center" vertical="center" wrapText="1"/>
    </xf>
    <xf numFmtId="10" fontId="99" fillId="33" borderId="13" xfId="86" applyNumberFormat="1" applyFont="1" applyFill="1" applyBorder="1" applyAlignment="1" applyProtection="1">
      <alignment horizontal="right" vertical="center" wrapText="1"/>
      <protection/>
    </xf>
    <xf numFmtId="4" fontId="99" fillId="0" borderId="13" xfId="42" applyNumberFormat="1" applyFont="1" applyFill="1" applyBorder="1" applyAlignment="1" applyProtection="1">
      <alignment horizontal="right" vertical="center" wrapText="1"/>
      <protection/>
    </xf>
    <xf numFmtId="0" fontId="100" fillId="0" borderId="14" xfId="0" applyFont="1" applyBorder="1" applyAlignment="1">
      <alignment horizontal="center" vertical="center" wrapText="1"/>
    </xf>
    <xf numFmtId="0" fontId="102" fillId="0" borderId="14" xfId="0" applyFont="1" applyBorder="1" applyAlignment="1">
      <alignment vertical="center" wrapText="1"/>
    </xf>
    <xf numFmtId="3" fontId="100" fillId="0" borderId="14" xfId="42" applyNumberFormat="1" applyFont="1" applyFill="1" applyBorder="1" applyAlignment="1" applyProtection="1">
      <alignment horizontal="right" vertical="center" wrapText="1"/>
      <protection/>
    </xf>
    <xf numFmtId="3" fontId="100" fillId="33" borderId="14" xfId="42" applyNumberFormat="1" applyFont="1" applyFill="1" applyBorder="1" applyAlignment="1" applyProtection="1">
      <alignment horizontal="right" vertical="center" wrapText="1"/>
      <protection/>
    </xf>
    <xf numFmtId="10" fontId="100" fillId="33" borderId="14" xfId="86" applyNumberFormat="1" applyFont="1" applyFill="1" applyBorder="1" applyAlignment="1" applyProtection="1">
      <alignment vertical="center" wrapText="1"/>
      <protection/>
    </xf>
    <xf numFmtId="2" fontId="100" fillId="33" borderId="14" xfId="0" applyNumberFormat="1" applyFont="1" applyFill="1" applyBorder="1" applyAlignment="1">
      <alignment vertical="center" wrapText="1"/>
    </xf>
    <xf numFmtId="2" fontId="100" fillId="0" borderId="14" xfId="0" applyNumberFormat="1" applyFont="1" applyBorder="1" applyAlignment="1">
      <alignment vertical="center" wrapText="1"/>
    </xf>
    <xf numFmtId="1" fontId="100" fillId="0" borderId="14" xfId="0" applyNumberFormat="1" applyFont="1" applyBorder="1" applyAlignment="1">
      <alignment horizontal="center" vertical="center" wrapText="1"/>
    </xf>
    <xf numFmtId="169" fontId="100" fillId="0" borderId="14" xfId="0" applyNumberFormat="1" applyFont="1" applyBorder="1" applyAlignment="1">
      <alignment vertical="center" wrapText="1"/>
    </xf>
    <xf numFmtId="0" fontId="100" fillId="0" borderId="0" xfId="0" applyFont="1" applyAlignment="1">
      <alignment/>
    </xf>
    <xf numFmtId="170" fontId="100" fillId="0" borderId="0" xfId="0" applyNumberFormat="1" applyFont="1" applyAlignment="1">
      <alignment vertical="center" wrapText="1"/>
    </xf>
    <xf numFmtId="167" fontId="99" fillId="33" borderId="13" xfId="42" applyNumberFormat="1" applyFont="1" applyFill="1" applyBorder="1" applyAlignment="1" applyProtection="1">
      <alignment horizontal="right" vertical="center" wrapText="1"/>
      <protection/>
    </xf>
    <xf numFmtId="2" fontId="99" fillId="33" borderId="13" xfId="0" applyNumberFormat="1" applyFont="1" applyFill="1" applyBorder="1" applyAlignment="1">
      <alignment horizontal="right" vertical="center" wrapText="1"/>
    </xf>
    <xf numFmtId="2" fontId="99" fillId="0" borderId="13" xfId="0" applyNumberFormat="1" applyFont="1" applyBorder="1" applyAlignment="1">
      <alignment horizontal="right" vertical="center" wrapText="1"/>
    </xf>
    <xf numFmtId="3" fontId="99" fillId="0" borderId="13" xfId="0" applyNumberFormat="1" applyFont="1" applyBorder="1" applyAlignment="1">
      <alignment vertical="center" wrapText="1"/>
    </xf>
    <xf numFmtId="3" fontId="99" fillId="0" borderId="15" xfId="0" applyNumberFormat="1" applyFont="1" applyBorder="1" applyAlignment="1">
      <alignment vertical="center" wrapText="1"/>
    </xf>
    <xf numFmtId="0" fontId="102" fillId="0" borderId="0" xfId="0" applyFont="1" applyBorder="1" applyAlignment="1">
      <alignment horizontal="center" vertical="center" wrapText="1"/>
    </xf>
    <xf numFmtId="3" fontId="100" fillId="0" borderId="0" xfId="0" applyNumberFormat="1" applyFont="1" applyAlignment="1">
      <alignment horizontal="center" vertical="center" wrapText="1"/>
    </xf>
    <xf numFmtId="3" fontId="100" fillId="0" borderId="13" xfId="0" applyNumberFormat="1" applyFont="1" applyBorder="1" applyAlignment="1">
      <alignment vertical="center" wrapText="1"/>
    </xf>
    <xf numFmtId="172" fontId="100" fillId="0" borderId="0" xfId="0" applyNumberFormat="1" applyFont="1" applyAlignment="1">
      <alignment vertical="center" wrapText="1"/>
    </xf>
    <xf numFmtId="0" fontId="100" fillId="0" borderId="16" xfId="0" applyFont="1" applyBorder="1" applyAlignment="1">
      <alignment vertical="center" wrapText="1"/>
    </xf>
    <xf numFmtId="3" fontId="100" fillId="0" borderId="16" xfId="0" applyNumberFormat="1" applyFont="1" applyBorder="1" applyAlignment="1">
      <alignment vertical="center" wrapText="1"/>
    </xf>
    <xf numFmtId="0" fontId="99" fillId="0" borderId="16" xfId="0" applyFont="1" applyBorder="1" applyAlignment="1">
      <alignment vertical="center" wrapText="1"/>
    </xf>
    <xf numFmtId="3" fontId="99" fillId="0" borderId="16" xfId="0" applyNumberFormat="1" applyFont="1" applyBorder="1" applyAlignment="1">
      <alignment vertical="center" wrapText="1"/>
    </xf>
    <xf numFmtId="3" fontId="99" fillId="0" borderId="0" xfId="0" applyNumberFormat="1" applyFont="1" applyAlignment="1">
      <alignment vertical="center" wrapText="1"/>
    </xf>
    <xf numFmtId="172" fontId="99" fillId="0" borderId="0" xfId="0" applyNumberFormat="1" applyFont="1" applyAlignment="1">
      <alignment vertical="center" wrapText="1"/>
    </xf>
    <xf numFmtId="170" fontId="99" fillId="0" borderId="0" xfId="0" applyNumberFormat="1" applyFont="1" applyAlignment="1">
      <alignment vertical="center" wrapText="1"/>
    </xf>
    <xf numFmtId="0" fontId="99" fillId="0" borderId="0" xfId="0" applyFont="1" applyAlignment="1">
      <alignment vertical="center" wrapText="1"/>
    </xf>
    <xf numFmtId="4" fontId="100" fillId="0" borderId="16" xfId="0" applyNumberFormat="1" applyFont="1" applyBorder="1" applyAlignment="1">
      <alignment vertical="center" wrapText="1"/>
    </xf>
    <xf numFmtId="164" fontId="100" fillId="0" borderId="0" xfId="0" applyNumberFormat="1" applyFont="1" applyAlignment="1">
      <alignment vertical="center" wrapText="1"/>
    </xf>
    <xf numFmtId="173" fontId="99" fillId="0" borderId="13" xfId="0" applyNumberFormat="1" applyFont="1" applyBorder="1" applyAlignment="1">
      <alignment horizontal="right" vertical="center" wrapText="1"/>
    </xf>
    <xf numFmtId="166" fontId="99" fillId="0" borderId="13" xfId="42" applyFont="1" applyFill="1" applyBorder="1" applyAlignment="1" applyProtection="1">
      <alignment horizontal="right" vertical="center" wrapText="1"/>
      <protection/>
    </xf>
    <xf numFmtId="173" fontId="99" fillId="0" borderId="13" xfId="0" applyNumberFormat="1" applyFont="1" applyBorder="1" applyAlignment="1">
      <alignment vertical="center" wrapText="1"/>
    </xf>
    <xf numFmtId="3" fontId="100" fillId="33" borderId="13" xfId="42" applyNumberFormat="1" applyFont="1" applyFill="1" applyBorder="1" applyAlignment="1" applyProtection="1">
      <alignment horizontal="right" vertical="center" wrapText="1"/>
      <protection/>
    </xf>
    <xf numFmtId="2" fontId="100" fillId="0" borderId="13" xfId="0" applyNumberFormat="1" applyFont="1" applyBorder="1" applyAlignment="1">
      <alignment vertical="center" wrapText="1"/>
    </xf>
    <xf numFmtId="0" fontId="99" fillId="0" borderId="0" xfId="0" applyFont="1" applyAlignment="1">
      <alignment horizontal="left" vertical="center" wrapText="1"/>
    </xf>
    <xf numFmtId="0" fontId="99" fillId="0" borderId="0" xfId="0" applyFont="1" applyAlignment="1">
      <alignment horizontal="left" vertical="center"/>
    </xf>
    <xf numFmtId="170" fontId="100" fillId="0" borderId="16" xfId="0" applyNumberFormat="1" applyFont="1" applyBorder="1" applyAlignment="1">
      <alignment vertical="center" wrapText="1"/>
    </xf>
    <xf numFmtId="172" fontId="100" fillId="0" borderId="0" xfId="0" applyNumberFormat="1" applyFont="1" applyAlignment="1">
      <alignment/>
    </xf>
    <xf numFmtId="0" fontId="6" fillId="34" borderId="0" xfId="0" applyFont="1" applyFill="1" applyAlignment="1">
      <alignment/>
    </xf>
    <xf numFmtId="0" fontId="6" fillId="34" borderId="0" xfId="0" applyFont="1" applyFill="1" applyAlignment="1">
      <alignment vertical="center"/>
    </xf>
    <xf numFmtId="0" fontId="7" fillId="34" borderId="0" xfId="0" applyFont="1" applyFill="1" applyAlignment="1">
      <alignment horizontal="center" vertical="center" wrapText="1"/>
    </xf>
    <xf numFmtId="0" fontId="11" fillId="34" borderId="0" xfId="0" applyFont="1" applyFill="1" applyAlignment="1">
      <alignment horizontal="center" vertical="center" wrapText="1"/>
    </xf>
    <xf numFmtId="4" fontId="7" fillId="34" borderId="0" xfId="0" applyNumberFormat="1" applyFont="1" applyFill="1" applyAlignment="1">
      <alignment vertical="center" wrapText="1"/>
    </xf>
    <xf numFmtId="4" fontId="6" fillId="34" borderId="0" xfId="0" applyNumberFormat="1" applyFont="1" applyFill="1" applyAlignment="1">
      <alignment vertical="center" wrapText="1"/>
    </xf>
    <xf numFmtId="0" fontId="7" fillId="34" borderId="0" xfId="0" applyFont="1" applyFill="1" applyAlignment="1">
      <alignment/>
    </xf>
    <xf numFmtId="0" fontId="7" fillId="34" borderId="0" xfId="0" applyFont="1" applyFill="1" applyAlignment="1">
      <alignment vertical="center" wrapText="1"/>
    </xf>
    <xf numFmtId="0" fontId="6" fillId="34" borderId="0" xfId="0" applyFont="1" applyFill="1" applyAlignment="1">
      <alignment vertical="center" wrapText="1"/>
    </xf>
    <xf numFmtId="0" fontId="6" fillId="2" borderId="0" xfId="0" applyFont="1" applyFill="1" applyAlignment="1">
      <alignment/>
    </xf>
    <xf numFmtId="0" fontId="6" fillId="2" borderId="0" xfId="0" applyFont="1" applyFill="1" applyAlignment="1">
      <alignment vertical="center"/>
    </xf>
    <xf numFmtId="0" fontId="7" fillId="2" borderId="0" xfId="0" applyFont="1" applyFill="1" applyAlignment="1">
      <alignment vertical="center" wrapText="1"/>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7" fillId="2" borderId="0" xfId="0" applyFont="1" applyFill="1" applyAlignment="1">
      <alignment horizontal="center" vertical="center" wrapText="1"/>
    </xf>
    <xf numFmtId="3" fontId="7" fillId="2" borderId="0" xfId="0" applyNumberFormat="1" applyFont="1" applyFill="1" applyAlignment="1">
      <alignment horizontal="center" vertical="center" wrapText="1"/>
    </xf>
    <xf numFmtId="3" fontId="7" fillId="2" borderId="0" xfId="0" applyNumberFormat="1" applyFont="1" applyFill="1" applyAlignment="1">
      <alignment vertical="center" wrapText="1"/>
    </xf>
    <xf numFmtId="3" fontId="6" fillId="2" borderId="0" xfId="0" applyNumberFormat="1" applyFont="1" applyFill="1" applyAlignment="1">
      <alignment vertical="center" wrapText="1"/>
    </xf>
    <xf numFmtId="0" fontId="7" fillId="2" borderId="0" xfId="0" applyFont="1" applyFill="1" applyAlignment="1">
      <alignment/>
    </xf>
    <xf numFmtId="0" fontId="6" fillId="2" borderId="0" xfId="0" applyFont="1" applyFill="1" applyAlignment="1">
      <alignment vertical="center" wrapText="1"/>
    </xf>
    <xf numFmtId="0" fontId="5" fillId="34" borderId="0" xfId="0" applyFont="1" applyFill="1" applyAlignment="1">
      <alignment/>
    </xf>
    <xf numFmtId="0" fontId="2" fillId="0" borderId="10" xfId="0" applyFont="1" applyBorder="1" applyAlignment="1">
      <alignment horizontal="center" vertical="center" wrapText="1"/>
    </xf>
    <xf numFmtId="0" fontId="99" fillId="0" borderId="0" xfId="0" applyFont="1" applyBorder="1" applyAlignment="1">
      <alignment horizontal="left" vertical="center" wrapText="1"/>
    </xf>
    <xf numFmtId="0" fontId="99" fillId="0" borderId="0" xfId="0" applyFont="1" applyBorder="1" applyAlignment="1">
      <alignment horizontal="left" vertical="center"/>
    </xf>
    <xf numFmtId="172" fontId="100" fillId="0" borderId="0" xfId="0" applyNumberFormat="1" applyFont="1" applyAlignment="1">
      <alignment vertical="center" wrapText="1"/>
    </xf>
    <xf numFmtId="0" fontId="101" fillId="3" borderId="0" xfId="0" applyFont="1" applyFill="1" applyAlignment="1">
      <alignment horizontal="center" vertical="center" wrapText="1"/>
    </xf>
    <xf numFmtId="0" fontId="100" fillId="3" borderId="0" xfId="0" applyFont="1" applyFill="1" applyAlignment="1">
      <alignment horizontal="center" vertical="center" wrapText="1"/>
    </xf>
    <xf numFmtId="172" fontId="100" fillId="3" borderId="0" xfId="0" applyNumberFormat="1" applyFont="1" applyFill="1" applyAlignment="1">
      <alignment vertical="center" wrapText="1"/>
    </xf>
    <xf numFmtId="172" fontId="99" fillId="3" borderId="0" xfId="0" applyNumberFormat="1" applyFont="1" applyFill="1" applyAlignment="1">
      <alignment vertical="center" wrapText="1"/>
    </xf>
    <xf numFmtId="172" fontId="100" fillId="3" borderId="0" xfId="0" applyNumberFormat="1" applyFont="1" applyFill="1" applyAlignment="1">
      <alignment vertical="center" wrapText="1"/>
    </xf>
    <xf numFmtId="172" fontId="100" fillId="3" borderId="0" xfId="0" applyNumberFormat="1" applyFont="1" applyFill="1" applyAlignment="1">
      <alignment/>
    </xf>
    <xf numFmtId="164" fontId="99" fillId="0" borderId="0" xfId="0" applyNumberFormat="1" applyFont="1" applyAlignment="1">
      <alignment vertical="center" wrapText="1"/>
    </xf>
    <xf numFmtId="166" fontId="5" fillId="34" borderId="0" xfId="42" applyFont="1" applyFill="1">
      <alignment/>
    </xf>
    <xf numFmtId="1" fontId="5" fillId="34" borderId="0" xfId="0" applyNumberFormat="1" applyFont="1" applyFill="1" applyAlignment="1">
      <alignment/>
    </xf>
    <xf numFmtId="1" fontId="5" fillId="0" borderId="0" xfId="0" applyNumberFormat="1" applyFont="1" applyAlignment="1">
      <alignment/>
    </xf>
    <xf numFmtId="0" fontId="15" fillId="0" borderId="11" xfId="0" applyFont="1" applyBorder="1" applyAlignment="1">
      <alignment horizontal="center" vertical="center" wrapText="1"/>
    </xf>
    <xf numFmtId="0" fontId="15" fillId="33" borderId="11" xfId="0" applyFont="1" applyFill="1" applyBorder="1" applyAlignment="1">
      <alignment horizontal="center" vertical="center" wrapText="1"/>
    </xf>
    <xf numFmtId="3" fontId="100" fillId="0" borderId="0" xfId="0" applyNumberFormat="1" applyFont="1" applyBorder="1" applyAlignment="1">
      <alignment vertical="center" wrapText="1"/>
    </xf>
    <xf numFmtId="3" fontId="99" fillId="0" borderId="0" xfId="0" applyNumberFormat="1" applyFont="1" applyBorder="1" applyAlignment="1">
      <alignment vertical="center" wrapText="1"/>
    </xf>
    <xf numFmtId="0" fontId="100" fillId="0" borderId="0" xfId="0" applyFont="1" applyBorder="1" applyAlignment="1">
      <alignment/>
    </xf>
    <xf numFmtId="0" fontId="103" fillId="0" borderId="10" xfId="0" applyFont="1" applyBorder="1" applyAlignment="1">
      <alignment horizontal="center" vertical="center" wrapText="1"/>
    </xf>
    <xf numFmtId="0" fontId="104" fillId="0" borderId="11" xfId="0" applyFont="1" applyBorder="1" applyAlignment="1">
      <alignment horizontal="center" vertical="center" wrapText="1"/>
    </xf>
    <xf numFmtId="0" fontId="104" fillId="33" borderId="11" xfId="0" applyFont="1" applyFill="1" applyBorder="1" applyAlignment="1">
      <alignment horizontal="center" vertical="center" wrapText="1"/>
    </xf>
    <xf numFmtId="0" fontId="104" fillId="33" borderId="10" xfId="0" applyFont="1" applyFill="1" applyBorder="1" applyAlignment="1">
      <alignment horizontal="center" vertical="center" wrapText="1"/>
    </xf>
    <xf numFmtId="0" fontId="104"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33" borderId="11" xfId="0" applyFont="1" applyFill="1" applyBorder="1" applyAlignment="1">
      <alignment horizontal="center" vertical="center" wrapText="1"/>
    </xf>
    <xf numFmtId="0" fontId="5" fillId="0" borderId="15" xfId="0" applyFont="1" applyBorder="1" applyAlignment="1">
      <alignment vertical="center" wrapText="1"/>
    </xf>
    <xf numFmtId="0" fontId="5" fillId="35" borderId="0" xfId="0" applyFont="1" applyFill="1" applyAlignment="1">
      <alignment/>
    </xf>
    <xf numFmtId="0" fontId="5" fillId="35" borderId="0" xfId="0" applyFont="1" applyFill="1" applyAlignment="1">
      <alignment wrapText="1"/>
    </xf>
    <xf numFmtId="0" fontId="5" fillId="36" borderId="0" xfId="0" applyFont="1" applyFill="1" applyAlignment="1">
      <alignment/>
    </xf>
    <xf numFmtId="0" fontId="5" fillId="35" borderId="0" xfId="0" applyFont="1" applyFill="1" applyAlignment="1">
      <alignment vertical="center"/>
    </xf>
    <xf numFmtId="0" fontId="1" fillId="35" borderId="0" xfId="0" applyFont="1" applyFill="1" applyAlignment="1">
      <alignment vertical="center" wrapText="1"/>
    </xf>
    <xf numFmtId="0" fontId="1" fillId="35" borderId="0" xfId="0" applyFont="1" applyFill="1" applyAlignment="1">
      <alignment horizontal="center" vertical="center" wrapText="1"/>
    </xf>
    <xf numFmtId="0" fontId="10" fillId="35" borderId="0" xfId="0" applyFont="1" applyFill="1" applyAlignment="1">
      <alignment vertical="center" wrapText="1"/>
    </xf>
    <xf numFmtId="0" fontId="10" fillId="35" borderId="0" xfId="0" applyFont="1" applyFill="1" applyAlignment="1">
      <alignment horizontal="center" vertical="center" wrapText="1"/>
    </xf>
    <xf numFmtId="0" fontId="1"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1" fillId="35" borderId="12" xfId="0" applyFont="1" applyFill="1" applyBorder="1" applyAlignment="1">
      <alignment vertical="center" wrapText="1"/>
    </xf>
    <xf numFmtId="3" fontId="1" fillId="35" borderId="12" xfId="0" applyNumberFormat="1" applyFont="1" applyFill="1" applyBorder="1" applyAlignment="1">
      <alignment vertical="center" wrapText="1"/>
    </xf>
    <xf numFmtId="3" fontId="1" fillId="35" borderId="0" xfId="0" applyNumberFormat="1" applyFont="1" applyFill="1" applyAlignment="1">
      <alignment vertical="center" wrapText="1"/>
    </xf>
    <xf numFmtId="4" fontId="1" fillId="35" borderId="0" xfId="0" applyNumberFormat="1" applyFont="1" applyFill="1" applyAlignment="1">
      <alignment vertical="center" wrapText="1"/>
    </xf>
    <xf numFmtId="177" fontId="5" fillId="35" borderId="0" xfId="42" applyNumberFormat="1" applyFont="1" applyFill="1">
      <alignment/>
    </xf>
    <xf numFmtId="170" fontId="1" fillId="35" borderId="0" xfId="0" applyNumberFormat="1" applyFont="1" applyFill="1" applyAlignment="1">
      <alignment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4" fontId="5" fillId="35" borderId="13" xfId="42" applyNumberFormat="1" applyFont="1" applyFill="1" applyBorder="1" applyAlignment="1" applyProtection="1">
      <alignment horizontal="right" vertical="center" wrapText="1"/>
      <protection/>
    </xf>
    <xf numFmtId="4" fontId="5" fillId="36" borderId="13" xfId="42" applyNumberFormat="1" applyFont="1" applyFill="1" applyBorder="1" applyAlignment="1" applyProtection="1">
      <alignment horizontal="right" vertical="center" wrapText="1"/>
      <protection/>
    </xf>
    <xf numFmtId="167" fontId="5" fillId="36" borderId="13" xfId="42" applyNumberFormat="1" applyFont="1" applyFill="1" applyBorder="1" applyAlignment="1" applyProtection="1">
      <alignment horizontal="right" vertical="center" wrapText="1"/>
      <protection/>
    </xf>
    <xf numFmtId="2" fontId="5" fillId="36" borderId="13" xfId="0" applyNumberFormat="1" applyFont="1" applyFill="1" applyBorder="1" applyAlignment="1">
      <alignment horizontal="right" vertical="center" wrapText="1"/>
    </xf>
    <xf numFmtId="3" fontId="5" fillId="36" borderId="13" xfId="42" applyNumberFormat="1" applyFont="1" applyFill="1" applyBorder="1" applyAlignment="1" applyProtection="1">
      <alignment horizontal="right" vertical="center" wrapText="1"/>
      <protection/>
    </xf>
    <xf numFmtId="174" fontId="5" fillId="35" borderId="13" xfId="0" applyNumberFormat="1" applyFont="1" applyFill="1" applyBorder="1" applyAlignment="1">
      <alignment horizontal="right" vertical="center" wrapText="1"/>
    </xf>
    <xf numFmtId="1" fontId="5" fillId="35" borderId="13" xfId="0" applyNumberFormat="1" applyFont="1" applyFill="1" applyBorder="1" applyAlignment="1">
      <alignment horizontal="right" vertical="center" wrapText="1"/>
    </xf>
    <xf numFmtId="2" fontId="5" fillId="35" borderId="13" xfId="0" applyNumberFormat="1" applyFont="1" applyFill="1" applyBorder="1" applyAlignment="1">
      <alignment horizontal="right" vertical="center" wrapText="1"/>
    </xf>
    <xf numFmtId="3" fontId="5" fillId="35" borderId="13" xfId="0" applyNumberFormat="1" applyFont="1" applyFill="1" applyBorder="1" applyAlignment="1">
      <alignment vertical="center" wrapText="1"/>
    </xf>
    <xf numFmtId="169" fontId="5" fillId="35" borderId="13" xfId="0" applyNumberFormat="1" applyFont="1" applyFill="1" applyBorder="1" applyAlignment="1">
      <alignment horizontal="right" vertical="center" wrapText="1"/>
    </xf>
    <xf numFmtId="3" fontId="5" fillId="35" borderId="13" xfId="42" applyNumberFormat="1" applyFont="1" applyFill="1" applyBorder="1" applyAlignment="1" applyProtection="1">
      <alignment horizontal="right" vertical="center" wrapText="1"/>
      <protection/>
    </xf>
    <xf numFmtId="169" fontId="5" fillId="35" borderId="13" xfId="42" applyNumberFormat="1" applyFont="1" applyFill="1" applyBorder="1" applyAlignment="1" applyProtection="1">
      <alignment horizontal="right" vertical="center" wrapText="1"/>
      <protection/>
    </xf>
    <xf numFmtId="0" fontId="5" fillId="35" borderId="15" xfId="0" applyFont="1" applyFill="1" applyBorder="1" applyAlignment="1">
      <alignment horizontal="center" vertical="center" wrapText="1"/>
    </xf>
    <xf numFmtId="0" fontId="5" fillId="35" borderId="15" xfId="0" applyFont="1" applyFill="1" applyBorder="1" applyAlignment="1">
      <alignment vertical="center" wrapText="1"/>
    </xf>
    <xf numFmtId="4" fontId="5" fillId="35" borderId="15" xfId="42" applyNumberFormat="1" applyFont="1" applyFill="1" applyBorder="1" applyAlignment="1" applyProtection="1">
      <alignment horizontal="right" vertical="center" wrapText="1"/>
      <protection/>
    </xf>
    <xf numFmtId="4" fontId="5" fillId="36" borderId="15" xfId="42" applyNumberFormat="1" applyFont="1" applyFill="1" applyBorder="1" applyAlignment="1" applyProtection="1">
      <alignment horizontal="right" vertical="center" wrapText="1"/>
      <protection/>
    </xf>
    <xf numFmtId="167" fontId="5" fillId="36" borderId="15" xfId="42" applyNumberFormat="1" applyFont="1" applyFill="1" applyBorder="1" applyAlignment="1" applyProtection="1">
      <alignment horizontal="right" vertical="center" wrapText="1"/>
      <protection/>
    </xf>
    <xf numFmtId="2" fontId="5" fillId="36" borderId="15" xfId="0" applyNumberFormat="1" applyFont="1" applyFill="1" applyBorder="1" applyAlignment="1">
      <alignment horizontal="right" vertical="center" wrapText="1"/>
    </xf>
    <xf numFmtId="3" fontId="5" fillId="36" borderId="15" xfId="42" applyNumberFormat="1" applyFont="1" applyFill="1" applyBorder="1" applyAlignment="1" applyProtection="1">
      <alignment horizontal="right" vertical="center" wrapText="1"/>
      <protection/>
    </xf>
    <xf numFmtId="2" fontId="5" fillId="35" borderId="15" xfId="0" applyNumberFormat="1" applyFont="1" applyFill="1" applyBorder="1" applyAlignment="1">
      <alignment horizontal="right" vertical="center" wrapText="1"/>
    </xf>
    <xf numFmtId="1" fontId="5" fillId="35" borderId="15" xfId="0" applyNumberFormat="1" applyFont="1" applyFill="1" applyBorder="1" applyAlignment="1">
      <alignment horizontal="right" vertical="center" wrapText="1"/>
    </xf>
    <xf numFmtId="3" fontId="5" fillId="35" borderId="15" xfId="0" applyNumberFormat="1" applyFont="1" applyFill="1" applyBorder="1" applyAlignment="1">
      <alignment vertical="center" wrapText="1"/>
    </xf>
    <xf numFmtId="169" fontId="5" fillId="35" borderId="15" xfId="0" applyNumberFormat="1" applyFont="1" applyFill="1" applyBorder="1" applyAlignment="1">
      <alignment horizontal="right" vertical="center" wrapText="1"/>
    </xf>
    <xf numFmtId="0" fontId="1" fillId="35" borderId="14" xfId="0" applyFont="1" applyFill="1" applyBorder="1" applyAlignment="1">
      <alignment horizontal="center" vertical="center" wrapText="1"/>
    </xf>
    <xf numFmtId="0" fontId="2" fillId="35" borderId="14" xfId="0" applyFont="1" applyFill="1" applyBorder="1" applyAlignment="1">
      <alignment vertical="center" wrapText="1"/>
    </xf>
    <xf numFmtId="3" fontId="1" fillId="35" borderId="14" xfId="42" applyNumberFormat="1" applyFont="1" applyFill="1" applyBorder="1" applyAlignment="1" applyProtection="1">
      <alignment horizontal="right" vertical="center" wrapText="1"/>
      <protection/>
    </xf>
    <xf numFmtId="3" fontId="1" fillId="36" borderId="14" xfId="42" applyNumberFormat="1" applyFont="1" applyFill="1" applyBorder="1" applyAlignment="1" applyProtection="1">
      <alignment horizontal="right" vertical="center" wrapText="1"/>
      <protection/>
    </xf>
    <xf numFmtId="10" fontId="1" fillId="36" borderId="14" xfId="86" applyNumberFormat="1" applyFont="1" applyFill="1" applyBorder="1" applyAlignment="1" applyProtection="1">
      <alignment vertical="center" wrapText="1"/>
      <protection/>
    </xf>
    <xf numFmtId="2" fontId="1" fillId="36" borderId="14" xfId="0" applyNumberFormat="1" applyFont="1" applyFill="1" applyBorder="1" applyAlignment="1">
      <alignment vertical="center" wrapText="1"/>
    </xf>
    <xf numFmtId="2" fontId="1" fillId="35" borderId="14" xfId="0" applyNumberFormat="1" applyFont="1" applyFill="1" applyBorder="1" applyAlignment="1">
      <alignment vertical="center" wrapText="1"/>
    </xf>
    <xf numFmtId="1" fontId="1" fillId="35" borderId="14" xfId="0" applyNumberFormat="1" applyFont="1" applyFill="1" applyBorder="1" applyAlignment="1">
      <alignment horizontal="center" vertical="center" wrapText="1"/>
    </xf>
    <xf numFmtId="171" fontId="5" fillId="35" borderId="14" xfId="0" applyNumberFormat="1" applyFont="1" applyFill="1" applyBorder="1" applyAlignment="1">
      <alignment horizontal="right" vertical="center" wrapText="1"/>
    </xf>
    <xf numFmtId="0" fontId="1" fillId="35" borderId="0" xfId="0" applyFont="1" applyFill="1" applyAlignment="1">
      <alignment/>
    </xf>
    <xf numFmtId="0" fontId="5" fillId="35" borderId="0" xfId="0" applyFont="1" applyFill="1" applyAlignment="1">
      <alignment/>
    </xf>
    <xf numFmtId="3" fontId="2" fillId="35" borderId="18" xfId="0" applyNumberFormat="1" applyFont="1" applyFill="1" applyBorder="1" applyAlignment="1">
      <alignment horizontal="right" vertical="center" wrapText="1"/>
    </xf>
    <xf numFmtId="3" fontId="3" fillId="35" borderId="18" xfId="0" applyNumberFormat="1" applyFont="1" applyFill="1" applyBorder="1" applyAlignment="1">
      <alignment horizontal="right" vertical="center" wrapText="1"/>
    </xf>
    <xf numFmtId="1" fontId="3" fillId="35" borderId="18" xfId="0" applyNumberFormat="1" applyFont="1" applyFill="1" applyBorder="1" applyAlignment="1">
      <alignment horizontal="right" vertical="center" wrapText="1"/>
    </xf>
    <xf numFmtId="2" fontId="3" fillId="35" borderId="18" xfId="0" applyNumberFormat="1" applyFont="1" applyFill="1" applyBorder="1" applyAlignment="1">
      <alignment horizontal="right" vertical="center" wrapText="1"/>
    </xf>
    <xf numFmtId="173" fontId="3" fillId="35" borderId="18" xfId="0" applyNumberFormat="1" applyFont="1" applyFill="1" applyBorder="1" applyAlignment="1">
      <alignment horizontal="right" vertical="center" wrapText="1"/>
    </xf>
    <xf numFmtId="3" fontId="3" fillId="35" borderId="18" xfId="42" applyNumberFormat="1" applyFont="1" applyFill="1" applyBorder="1" applyAlignment="1">
      <alignment horizontal="right" vertical="center" wrapText="1"/>
    </xf>
    <xf numFmtId="4" fontId="3" fillId="35" borderId="18" xfId="42" applyNumberFormat="1" applyFont="1" applyFill="1" applyBorder="1" applyAlignment="1">
      <alignment horizontal="right" vertical="center" wrapText="1"/>
    </xf>
    <xf numFmtId="1" fontId="3" fillId="35" borderId="19" xfId="0" applyNumberFormat="1" applyFont="1" applyFill="1" applyBorder="1" applyAlignment="1">
      <alignment horizontal="right" vertical="center" wrapText="1"/>
    </xf>
    <xf numFmtId="173" fontId="3" fillId="35" borderId="18" xfId="0" applyNumberFormat="1" applyFont="1" applyFill="1" applyBorder="1" applyAlignment="1">
      <alignment vertical="center" wrapText="1"/>
    </xf>
    <xf numFmtId="0" fontId="3" fillId="35" borderId="18" xfId="0" applyFont="1" applyFill="1" applyBorder="1" applyAlignment="1">
      <alignment vertical="center" wrapText="1"/>
    </xf>
    <xf numFmtId="169" fontId="1" fillId="35" borderId="20" xfId="0" applyNumberFormat="1" applyFont="1" applyFill="1" applyBorder="1" applyAlignment="1">
      <alignment vertical="center" wrapText="1"/>
    </xf>
    <xf numFmtId="0" fontId="5" fillId="35" borderId="0" xfId="0" applyFont="1" applyFill="1" applyAlignment="1">
      <alignment wrapText="1"/>
    </xf>
    <xf numFmtId="0" fontId="5" fillId="35" borderId="0" xfId="0" applyFont="1" applyFill="1" applyAlignment="1">
      <alignment vertical="center"/>
    </xf>
    <xf numFmtId="0" fontId="1" fillId="35" borderId="0" xfId="0" applyFont="1" applyFill="1" applyAlignment="1">
      <alignment vertical="center" wrapText="1"/>
    </xf>
    <xf numFmtId="0" fontId="1" fillId="35" borderId="0" xfId="0" applyFont="1" applyFill="1" applyAlignment="1">
      <alignment horizontal="center" vertical="center" wrapText="1"/>
    </xf>
    <xf numFmtId="0" fontId="10" fillId="35" borderId="0" xfId="0" applyFont="1" applyFill="1" applyAlignment="1">
      <alignment vertical="center" wrapText="1"/>
    </xf>
    <xf numFmtId="0" fontId="10" fillId="35" borderId="0" xfId="0" applyFont="1" applyFill="1" applyAlignment="1">
      <alignment horizontal="center" vertical="center" wrapText="1"/>
    </xf>
    <xf numFmtId="0" fontId="2" fillId="35" borderId="2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2" fillId="35" borderId="23" xfId="0" applyFont="1" applyFill="1" applyBorder="1" applyAlignment="1">
      <alignment vertical="center" wrapText="1"/>
    </xf>
    <xf numFmtId="4" fontId="2" fillId="35" borderId="23" xfId="0" applyNumberFormat="1" applyFont="1" applyFill="1" applyBorder="1" applyAlignment="1">
      <alignment vertical="center" wrapText="1"/>
    </xf>
    <xf numFmtId="3" fontId="2" fillId="35" borderId="23" xfId="0" applyNumberFormat="1" applyFont="1" applyFill="1" applyBorder="1" applyAlignment="1">
      <alignment vertical="center" wrapText="1"/>
    </xf>
    <xf numFmtId="3" fontId="1" fillId="35" borderId="0" xfId="0" applyNumberFormat="1" applyFont="1" applyFill="1" applyAlignment="1">
      <alignment vertical="center" wrapText="1"/>
    </xf>
    <xf numFmtId="4" fontId="1" fillId="35" borderId="0" xfId="0" applyNumberFormat="1" applyFont="1" applyFill="1" applyAlignment="1">
      <alignment vertical="center" wrapText="1"/>
    </xf>
    <xf numFmtId="172" fontId="1" fillId="35" borderId="0" xfId="0" applyNumberFormat="1" applyFont="1" applyFill="1" applyAlignment="1">
      <alignment vertical="center" wrapText="1"/>
    </xf>
    <xf numFmtId="170" fontId="1" fillId="35" borderId="0" xfId="0" applyNumberFormat="1" applyFont="1" applyFill="1" applyAlignment="1">
      <alignment vertical="center" wrapText="1"/>
    </xf>
    <xf numFmtId="0" fontId="2" fillId="35" borderId="24" xfId="0" applyFont="1" applyFill="1" applyBorder="1" applyAlignment="1">
      <alignment vertical="center" wrapText="1"/>
    </xf>
    <xf numFmtId="3" fontId="2" fillId="35" borderId="24" xfId="0" applyNumberFormat="1" applyFont="1" applyFill="1" applyBorder="1" applyAlignment="1">
      <alignment vertical="center" wrapText="1"/>
    </xf>
    <xf numFmtId="4" fontId="2" fillId="35" borderId="24" xfId="0" applyNumberFormat="1" applyFont="1" applyFill="1" applyBorder="1" applyAlignment="1">
      <alignment vertical="center" wrapText="1"/>
    </xf>
    <xf numFmtId="3" fontId="2" fillId="35" borderId="18" xfId="0" applyNumberFormat="1" applyFont="1" applyFill="1" applyBorder="1" applyAlignment="1">
      <alignment vertical="center" wrapText="1"/>
    </xf>
    <xf numFmtId="4" fontId="2" fillId="35" borderId="18" xfId="0" applyNumberFormat="1" applyFont="1" applyFill="1" applyBorder="1" applyAlignment="1">
      <alignment vertical="center" wrapText="1"/>
    </xf>
    <xf numFmtId="0" fontId="3" fillId="35" borderId="24" xfId="0" applyFont="1" applyFill="1" applyBorder="1" applyAlignment="1">
      <alignment vertical="center" wrapText="1"/>
    </xf>
    <xf numFmtId="3" fontId="3" fillId="35" borderId="24" xfId="0" applyNumberFormat="1" applyFont="1" applyFill="1" applyBorder="1" applyAlignment="1">
      <alignment vertical="center" wrapText="1"/>
    </xf>
    <xf numFmtId="4" fontId="3" fillId="35" borderId="24" xfId="0" applyNumberFormat="1" applyFont="1" applyFill="1" applyBorder="1" applyAlignment="1">
      <alignment vertical="center" wrapText="1"/>
    </xf>
    <xf numFmtId="3" fontId="3" fillId="35" borderId="18" xfId="0" applyNumberFormat="1" applyFont="1" applyFill="1" applyBorder="1" applyAlignment="1">
      <alignment vertical="center" wrapText="1"/>
    </xf>
    <xf numFmtId="4" fontId="3" fillId="35" borderId="18" xfId="0" applyNumberFormat="1" applyFont="1" applyFill="1" applyBorder="1" applyAlignment="1">
      <alignment vertical="center" wrapText="1"/>
    </xf>
    <xf numFmtId="3" fontId="5" fillId="35" borderId="0" xfId="0" applyNumberFormat="1" applyFont="1" applyFill="1" applyAlignment="1">
      <alignment vertical="center" wrapText="1"/>
    </xf>
    <xf numFmtId="4" fontId="5" fillId="35" borderId="0" xfId="0" applyNumberFormat="1" applyFont="1" applyFill="1" applyAlignment="1">
      <alignment vertical="center" wrapText="1"/>
    </xf>
    <xf numFmtId="172" fontId="5" fillId="35" borderId="0" xfId="0" applyNumberFormat="1" applyFont="1" applyFill="1" applyAlignment="1">
      <alignment vertical="center" wrapText="1"/>
    </xf>
    <xf numFmtId="170" fontId="5" fillId="35" borderId="0" xfId="0" applyNumberFormat="1" applyFont="1" applyFill="1" applyAlignment="1">
      <alignment vertical="center" wrapText="1"/>
    </xf>
    <xf numFmtId="0" fontId="5" fillId="35" borderId="0" xfId="0" applyFont="1" applyFill="1" applyAlignment="1">
      <alignment vertical="center" wrapText="1"/>
    </xf>
    <xf numFmtId="170" fontId="2" fillId="35" borderId="24" xfId="0" applyNumberFormat="1" applyFont="1" applyFill="1" applyBorder="1" applyAlignment="1">
      <alignment vertical="center" wrapText="1"/>
    </xf>
    <xf numFmtId="166" fontId="1" fillId="35" borderId="0" xfId="42" applyFont="1" applyFill="1" applyAlignment="1">
      <alignment vertical="center" wrapText="1"/>
    </xf>
    <xf numFmtId="0" fontId="3" fillId="35" borderId="18" xfId="0" applyFont="1" applyFill="1" applyBorder="1" applyAlignment="1">
      <alignment horizontal="center" vertical="center" wrapText="1"/>
    </xf>
    <xf numFmtId="182" fontId="3" fillId="35" borderId="18" xfId="42" applyNumberFormat="1" applyFont="1" applyFill="1" applyBorder="1" applyAlignment="1">
      <alignment horizontal="right" vertical="center" wrapText="1"/>
    </xf>
    <xf numFmtId="169" fontId="3" fillId="35" borderId="18" xfId="0" applyNumberFormat="1" applyFont="1" applyFill="1" applyBorder="1" applyAlignment="1">
      <alignment horizontal="right" vertical="center" wrapText="1"/>
    </xf>
    <xf numFmtId="1" fontId="5" fillId="35" borderId="0" xfId="0" applyNumberFormat="1" applyFont="1" applyFill="1" applyAlignment="1">
      <alignment vertical="center" wrapText="1"/>
    </xf>
    <xf numFmtId="2" fontId="3" fillId="35" borderId="18" xfId="0" applyNumberFormat="1" applyFont="1" applyFill="1" applyBorder="1" applyAlignment="1">
      <alignment vertical="center" wrapText="1"/>
    </xf>
    <xf numFmtId="3" fontId="3" fillId="35" borderId="19" xfId="0" applyNumberFormat="1" applyFont="1" applyFill="1" applyBorder="1" applyAlignment="1">
      <alignment horizontal="right" vertical="center" wrapText="1"/>
    </xf>
    <xf numFmtId="3" fontId="3" fillId="35" borderId="19" xfId="0" applyNumberFormat="1" applyFont="1" applyFill="1" applyBorder="1" applyAlignment="1">
      <alignment vertical="center" wrapText="1"/>
    </xf>
    <xf numFmtId="0" fontId="1" fillId="35" borderId="20" xfId="0" applyFont="1" applyFill="1" applyBorder="1" applyAlignment="1">
      <alignment horizontal="center" vertical="center" wrapText="1"/>
    </xf>
    <xf numFmtId="0" fontId="2" fillId="35" borderId="20" xfId="0" applyFont="1" applyFill="1" applyBorder="1" applyAlignment="1">
      <alignment vertical="center" wrapText="1"/>
    </xf>
    <xf numFmtId="3" fontId="1" fillId="35" borderId="20" xfId="42" applyNumberFormat="1" applyFont="1" applyFill="1" applyBorder="1" applyAlignment="1">
      <alignment horizontal="right" vertical="center" wrapText="1"/>
    </xf>
    <xf numFmtId="10" fontId="1" fillId="35" borderId="20" xfId="86" applyNumberFormat="1" applyFont="1" applyFill="1" applyBorder="1" applyAlignment="1">
      <alignment vertical="center" wrapText="1"/>
    </xf>
    <xf numFmtId="2" fontId="1" fillId="35" borderId="20" xfId="0" applyNumberFormat="1" applyFont="1" applyFill="1" applyBorder="1" applyAlignment="1">
      <alignment vertical="center" wrapText="1"/>
    </xf>
    <xf numFmtId="3" fontId="1" fillId="35" borderId="20" xfId="0" applyNumberFormat="1" applyFont="1" applyFill="1" applyBorder="1" applyAlignment="1">
      <alignment horizontal="right" vertical="center" wrapText="1"/>
    </xf>
    <xf numFmtId="1" fontId="1" fillId="35" borderId="20" xfId="0" applyNumberFormat="1" applyFont="1" applyFill="1" applyBorder="1" applyAlignment="1">
      <alignment horizontal="center" vertical="center" wrapText="1"/>
    </xf>
    <xf numFmtId="171" fontId="5" fillId="35" borderId="20" xfId="0" applyNumberFormat="1" applyFont="1" applyFill="1" applyBorder="1" applyAlignment="1">
      <alignment horizontal="right" vertical="center" wrapText="1"/>
    </xf>
    <xf numFmtId="1" fontId="1" fillId="35" borderId="0" xfId="0" applyNumberFormat="1" applyFont="1" applyFill="1" applyAlignment="1">
      <alignment vertical="center" wrapText="1"/>
    </xf>
    <xf numFmtId="0" fontId="1" fillId="35" borderId="0" xfId="0" applyFont="1" applyFill="1" applyAlignment="1">
      <alignment/>
    </xf>
    <xf numFmtId="0" fontId="19" fillId="35" borderId="0" xfId="0" applyFont="1" applyFill="1" applyAlignment="1">
      <alignment/>
    </xf>
    <xf numFmtId="0" fontId="19" fillId="35" borderId="0" xfId="0" applyFont="1" applyFill="1" applyAlignment="1">
      <alignment wrapText="1"/>
    </xf>
    <xf numFmtId="0" fontId="19" fillId="35" borderId="0" xfId="0" applyFont="1" applyFill="1" applyBorder="1" applyAlignment="1">
      <alignment/>
    </xf>
    <xf numFmtId="0" fontId="19" fillId="35" borderId="0" xfId="0" applyFont="1" applyFill="1" applyBorder="1" applyAlignment="1">
      <alignment vertical="center"/>
    </xf>
    <xf numFmtId="0" fontId="19" fillId="35" borderId="0" xfId="0" applyFont="1" applyFill="1" applyAlignment="1">
      <alignment vertical="center"/>
    </xf>
    <xf numFmtId="0" fontId="1" fillId="35" borderId="0" xfId="0" applyFont="1" applyFill="1" applyBorder="1" applyAlignment="1">
      <alignment horizontal="center" vertical="center" wrapText="1"/>
    </xf>
    <xf numFmtId="0" fontId="21" fillId="35" borderId="21"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0" fillId="35" borderId="0" xfId="0" applyFont="1" applyFill="1" applyAlignment="1">
      <alignment horizontal="center" vertical="center" wrapText="1"/>
    </xf>
    <xf numFmtId="0" fontId="19" fillId="35" borderId="18" xfId="0" applyFont="1" applyFill="1" applyBorder="1" applyAlignment="1">
      <alignment horizontal="center" vertical="center" wrapText="1"/>
    </xf>
    <xf numFmtId="0" fontId="19" fillId="35" borderId="18" xfId="0" applyFont="1" applyFill="1" applyBorder="1" applyAlignment="1">
      <alignment vertical="center" wrapText="1"/>
    </xf>
    <xf numFmtId="3" fontId="19" fillId="35" borderId="18" xfId="0" applyNumberFormat="1" applyFont="1" applyFill="1" applyBorder="1" applyAlignment="1">
      <alignment vertical="center" wrapText="1"/>
    </xf>
    <xf numFmtId="4" fontId="19" fillId="35" borderId="18" xfId="0" applyNumberFormat="1" applyFont="1" applyFill="1" applyBorder="1" applyAlignment="1">
      <alignment vertical="center" wrapText="1"/>
    </xf>
    <xf numFmtId="0" fontId="19" fillId="35" borderId="18" xfId="0" applyFont="1" applyFill="1" applyBorder="1" applyAlignment="1">
      <alignment/>
    </xf>
    <xf numFmtId="0" fontId="19" fillId="35" borderId="20" xfId="0" applyFont="1" applyFill="1" applyBorder="1" applyAlignment="1">
      <alignment/>
    </xf>
    <xf numFmtId="0" fontId="20" fillId="35" borderId="20" xfId="0" applyFont="1" applyFill="1" applyBorder="1" applyAlignment="1">
      <alignment horizontal="center" vertical="center"/>
    </xf>
    <xf numFmtId="0" fontId="20" fillId="35" borderId="20" xfId="0" applyFont="1" applyFill="1" applyBorder="1" applyAlignment="1">
      <alignment horizontal="center" vertical="center" wrapText="1"/>
    </xf>
    <xf numFmtId="3" fontId="20" fillId="35" borderId="20" xfId="0" applyNumberFormat="1" applyFont="1" applyFill="1" applyBorder="1" applyAlignment="1">
      <alignment vertical="center" wrapText="1"/>
    </xf>
    <xf numFmtId="0" fontId="20" fillId="35" borderId="0" xfId="0" applyFont="1" applyFill="1" applyBorder="1" applyAlignment="1">
      <alignment/>
    </xf>
    <xf numFmtId="0" fontId="19" fillId="35" borderId="0" xfId="0" applyFont="1" applyFill="1" applyBorder="1" applyAlignment="1">
      <alignment wrapText="1"/>
    </xf>
    <xf numFmtId="3" fontId="19" fillId="35" borderId="0" xfId="0" applyNumberFormat="1" applyFont="1" applyFill="1" applyAlignment="1">
      <alignment/>
    </xf>
    <xf numFmtId="1" fontId="19" fillId="35" borderId="0" xfId="0" applyNumberFormat="1" applyFont="1" applyFill="1" applyBorder="1" applyAlignment="1">
      <alignment/>
    </xf>
    <xf numFmtId="0" fontId="1" fillId="35" borderId="16" xfId="0" applyFont="1" applyFill="1" applyBorder="1" applyAlignment="1">
      <alignment vertical="center" wrapText="1"/>
    </xf>
    <xf numFmtId="3" fontId="1" fillId="35" borderId="16" xfId="0" applyNumberFormat="1" applyFont="1" applyFill="1" applyBorder="1" applyAlignment="1">
      <alignment vertical="center" wrapText="1"/>
    </xf>
    <xf numFmtId="3" fontId="1" fillId="35" borderId="13" xfId="0" applyNumberFormat="1" applyFont="1" applyFill="1" applyBorder="1" applyAlignment="1">
      <alignment vertical="center" wrapText="1"/>
    </xf>
    <xf numFmtId="0" fontId="5" fillId="35" borderId="16" xfId="0" applyFont="1" applyFill="1" applyBorder="1" applyAlignment="1">
      <alignment vertical="center" wrapText="1"/>
    </xf>
    <xf numFmtId="3" fontId="5" fillId="35" borderId="16" xfId="0" applyNumberFormat="1" applyFont="1" applyFill="1" applyBorder="1" applyAlignment="1">
      <alignment vertical="center" wrapText="1"/>
    </xf>
    <xf numFmtId="4" fontId="5" fillId="35" borderId="16" xfId="0" applyNumberFormat="1" applyFont="1" applyFill="1" applyBorder="1" applyAlignment="1">
      <alignment vertical="center" wrapText="1"/>
    </xf>
    <xf numFmtId="3" fontId="5" fillId="35" borderId="13" xfId="0" applyNumberFormat="1" applyFont="1" applyFill="1" applyBorder="1" applyAlignment="1">
      <alignment horizontal="right" vertical="center" wrapText="1"/>
    </xf>
    <xf numFmtId="173" fontId="5" fillId="35" borderId="13" xfId="0" applyNumberFormat="1" applyFont="1" applyFill="1" applyBorder="1" applyAlignment="1">
      <alignment horizontal="right" vertical="center" wrapText="1"/>
    </xf>
    <xf numFmtId="173" fontId="5" fillId="35" borderId="13" xfId="0" applyNumberFormat="1" applyFont="1" applyFill="1" applyBorder="1" applyAlignment="1">
      <alignment vertical="center" wrapText="1"/>
    </xf>
    <xf numFmtId="2" fontId="5" fillId="35" borderId="13" xfId="0" applyNumberFormat="1" applyFont="1" applyFill="1" applyBorder="1" applyAlignment="1">
      <alignment vertical="center" wrapText="1"/>
    </xf>
    <xf numFmtId="0" fontId="6" fillId="35" borderId="0" xfId="0" applyFont="1" applyFill="1" applyAlignment="1">
      <alignment/>
    </xf>
    <xf numFmtId="0" fontId="10" fillId="35"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5" fillId="35" borderId="16" xfId="0" applyFont="1" applyFill="1" applyBorder="1" applyAlignment="1">
      <alignment horizontal="center" vertical="center" wrapText="1"/>
    </xf>
    <xf numFmtId="4" fontId="5" fillId="35" borderId="16" xfId="42" applyNumberFormat="1" applyFont="1" applyFill="1" applyBorder="1" applyAlignment="1" applyProtection="1">
      <alignment horizontal="right" vertical="center" wrapText="1"/>
      <protection/>
    </xf>
    <xf numFmtId="4" fontId="5" fillId="36" borderId="16" xfId="42" applyNumberFormat="1" applyFont="1" applyFill="1" applyBorder="1" applyAlignment="1" applyProtection="1">
      <alignment horizontal="right" vertical="center" wrapText="1"/>
      <protection/>
    </xf>
    <xf numFmtId="167" fontId="5" fillId="36" borderId="16" xfId="42" applyNumberFormat="1" applyFont="1" applyFill="1" applyBorder="1" applyAlignment="1" applyProtection="1">
      <alignment horizontal="right" vertical="center" wrapText="1"/>
      <protection/>
    </xf>
    <xf numFmtId="2" fontId="5" fillId="36" borderId="16" xfId="0" applyNumberFormat="1" applyFont="1" applyFill="1" applyBorder="1" applyAlignment="1">
      <alignment horizontal="right" vertical="center" wrapText="1"/>
    </xf>
    <xf numFmtId="2" fontId="5" fillId="35" borderId="16" xfId="0" applyNumberFormat="1" applyFont="1" applyFill="1" applyBorder="1" applyAlignment="1">
      <alignment horizontal="right" vertical="center" wrapText="1"/>
    </xf>
    <xf numFmtId="1" fontId="5" fillId="35" borderId="16" xfId="0" applyNumberFormat="1" applyFont="1" applyFill="1" applyBorder="1" applyAlignment="1">
      <alignment horizontal="right" vertical="center" wrapText="1"/>
    </xf>
    <xf numFmtId="4" fontId="1" fillId="35" borderId="0" xfId="0" applyNumberFormat="1" applyFont="1" applyFill="1" applyBorder="1" applyAlignment="1">
      <alignment vertical="center" wrapText="1"/>
    </xf>
    <xf numFmtId="3" fontId="1" fillId="35" borderId="0" xfId="0" applyNumberFormat="1" applyFont="1" applyFill="1" applyBorder="1" applyAlignment="1">
      <alignment vertical="center" wrapText="1"/>
    </xf>
    <xf numFmtId="0" fontId="6" fillId="2" borderId="0" xfId="0" applyFont="1" applyFill="1" applyBorder="1" applyAlignment="1">
      <alignment/>
    </xf>
    <xf numFmtId="0" fontId="6" fillId="34" borderId="0" xfId="0" applyFont="1" applyFill="1" applyBorder="1" applyAlignment="1">
      <alignment/>
    </xf>
    <xf numFmtId="0" fontId="6" fillId="0" borderId="0" xfId="0" applyFont="1" applyBorder="1" applyAlignment="1">
      <alignment/>
    </xf>
    <xf numFmtId="166" fontId="5" fillId="34" borderId="0" xfId="42" applyFont="1" applyFill="1" applyBorder="1">
      <alignment/>
    </xf>
    <xf numFmtId="0" fontId="7" fillId="0" borderId="0" xfId="0" applyFont="1" applyBorder="1" applyAlignment="1">
      <alignment vertical="center" wrapText="1"/>
    </xf>
    <xf numFmtId="4" fontId="5" fillId="35" borderId="13" xfId="0" applyNumberFormat="1" applyFont="1" applyFill="1" applyBorder="1" applyAlignment="1">
      <alignment vertical="center" wrapText="1"/>
    </xf>
    <xf numFmtId="0" fontId="1" fillId="35" borderId="13" xfId="0" applyFont="1" applyFill="1" applyBorder="1" applyAlignment="1">
      <alignment vertical="center" wrapText="1"/>
    </xf>
    <xf numFmtId="4" fontId="1" fillId="35" borderId="13" xfId="0" applyNumberFormat="1" applyFont="1" applyFill="1" applyBorder="1" applyAlignment="1">
      <alignment vertical="center" wrapText="1"/>
    </xf>
    <xf numFmtId="170" fontId="1" fillId="35" borderId="13" xfId="0" applyNumberFormat="1" applyFont="1" applyFill="1" applyBorder="1" applyAlignment="1">
      <alignment vertical="center" wrapText="1"/>
    </xf>
    <xf numFmtId="0" fontId="4" fillId="35" borderId="11" xfId="0" applyFont="1" applyFill="1" applyBorder="1" applyAlignment="1">
      <alignment horizontal="center" vertical="center" wrapText="1"/>
    </xf>
    <xf numFmtId="3" fontId="7" fillId="35" borderId="12" xfId="0" applyNumberFormat="1" applyFont="1" applyFill="1" applyBorder="1" applyAlignment="1">
      <alignment vertical="center" wrapText="1"/>
    </xf>
    <xf numFmtId="3" fontId="7" fillId="35" borderId="13" xfId="0" applyNumberFormat="1" applyFont="1" applyFill="1" applyBorder="1" applyAlignment="1">
      <alignment vertical="center" wrapText="1"/>
    </xf>
    <xf numFmtId="4" fontId="6" fillId="35" borderId="13" xfId="0" applyNumberFormat="1" applyFont="1" applyFill="1" applyBorder="1" applyAlignment="1">
      <alignment vertical="center" wrapText="1"/>
    </xf>
    <xf numFmtId="4" fontId="7" fillId="35" borderId="13" xfId="0" applyNumberFormat="1" applyFont="1" applyFill="1" applyBorder="1" applyAlignment="1">
      <alignment vertical="center" wrapText="1"/>
    </xf>
    <xf numFmtId="169" fontId="6" fillId="35" borderId="13" xfId="0" applyNumberFormat="1" applyFont="1" applyFill="1" applyBorder="1" applyAlignment="1">
      <alignment horizontal="center" vertical="center" wrapText="1"/>
    </xf>
    <xf numFmtId="3" fontId="6" fillId="35" borderId="13" xfId="0" applyNumberFormat="1" applyFont="1" applyFill="1" applyBorder="1" applyAlignment="1">
      <alignment horizontal="right" vertical="center" wrapText="1"/>
    </xf>
    <xf numFmtId="0" fontId="7" fillId="35" borderId="13" xfId="0" applyFont="1" applyFill="1" applyBorder="1" applyAlignment="1">
      <alignment vertical="center" wrapText="1"/>
    </xf>
    <xf numFmtId="173" fontId="1" fillId="35" borderId="14" xfId="0" applyNumberFormat="1" applyFont="1" applyFill="1" applyBorder="1" applyAlignment="1">
      <alignment vertical="center" wrapText="1"/>
    </xf>
    <xf numFmtId="173" fontId="7" fillId="35" borderId="14" xfId="0" applyNumberFormat="1" applyFont="1" applyFill="1" applyBorder="1" applyAlignment="1">
      <alignment vertical="center" wrapText="1"/>
    </xf>
    <xf numFmtId="171" fontId="6" fillId="35" borderId="14" xfId="0" applyNumberFormat="1" applyFont="1" applyFill="1" applyBorder="1" applyAlignment="1">
      <alignment horizontal="right" vertical="center" wrapText="1"/>
    </xf>
    <xf numFmtId="0" fontId="3" fillId="35" borderId="25" xfId="0" applyFont="1" applyFill="1" applyBorder="1" applyAlignment="1">
      <alignment vertical="center" wrapText="1"/>
    </xf>
    <xf numFmtId="3" fontId="3" fillId="35" borderId="25" xfId="0" applyNumberFormat="1" applyFont="1" applyFill="1" applyBorder="1" applyAlignment="1">
      <alignment vertical="center" wrapText="1"/>
    </xf>
    <xf numFmtId="4" fontId="3" fillId="35" borderId="25" xfId="0" applyNumberFormat="1" applyFont="1" applyFill="1" applyBorder="1" applyAlignment="1">
      <alignment vertical="center" wrapText="1"/>
    </xf>
    <xf numFmtId="4" fontId="3" fillId="35" borderId="19" xfId="0" applyNumberFormat="1" applyFont="1" applyFill="1" applyBorder="1" applyAlignment="1">
      <alignment vertical="center" wrapText="1"/>
    </xf>
    <xf numFmtId="3" fontId="1" fillId="35" borderId="0" xfId="0" applyNumberFormat="1" applyFont="1" applyFill="1" applyBorder="1" applyAlignment="1">
      <alignment vertical="center" wrapText="1"/>
    </xf>
    <xf numFmtId="166" fontId="1" fillId="35" borderId="0" xfId="42" applyFont="1" applyFill="1" applyBorder="1" applyAlignment="1">
      <alignment vertical="center" wrapText="1"/>
    </xf>
    <xf numFmtId="170" fontId="1" fillId="35" borderId="0" xfId="0" applyNumberFormat="1" applyFont="1" applyFill="1" applyBorder="1" applyAlignment="1">
      <alignment vertical="center" wrapText="1"/>
    </xf>
    <xf numFmtId="0" fontId="1" fillId="35" borderId="0" xfId="0" applyFont="1" applyFill="1" applyBorder="1" applyAlignment="1">
      <alignment vertical="center" wrapText="1"/>
    </xf>
    <xf numFmtId="2" fontId="1" fillId="35" borderId="0" xfId="0" applyNumberFormat="1" applyFont="1" applyFill="1" applyBorder="1" applyAlignment="1">
      <alignment vertical="center" wrapText="1"/>
    </xf>
    <xf numFmtId="3" fontId="5" fillId="35" borderId="0" xfId="0" applyNumberFormat="1" applyFont="1" applyFill="1" applyBorder="1" applyAlignment="1">
      <alignment vertical="center" wrapText="1"/>
    </xf>
    <xf numFmtId="170" fontId="5" fillId="35" borderId="0" xfId="0" applyNumberFormat="1" applyFont="1" applyFill="1" applyBorder="1" applyAlignment="1">
      <alignment vertical="center" wrapText="1"/>
    </xf>
    <xf numFmtId="1" fontId="5" fillId="35" borderId="0" xfId="0" applyNumberFormat="1" applyFont="1" applyFill="1" applyBorder="1" applyAlignment="1">
      <alignment vertical="center" wrapText="1"/>
    </xf>
    <xf numFmtId="0" fontId="5" fillId="35" borderId="0" xfId="0" applyFont="1" applyFill="1" applyBorder="1" applyAlignment="1">
      <alignment/>
    </xf>
    <xf numFmtId="0" fontId="99" fillId="0" borderId="26" xfId="0" applyFont="1" applyBorder="1" applyAlignment="1">
      <alignment vertical="center" wrapText="1"/>
    </xf>
    <xf numFmtId="3" fontId="99" fillId="0" borderId="26" xfId="0" applyNumberFormat="1" applyFont="1" applyBorder="1" applyAlignment="1">
      <alignment vertical="center" wrapText="1"/>
    </xf>
    <xf numFmtId="0" fontId="99" fillId="0" borderId="16" xfId="0" applyFont="1" applyBorder="1" applyAlignment="1">
      <alignment horizontal="center" vertical="center" wrapText="1"/>
    </xf>
    <xf numFmtId="4" fontId="99" fillId="33" borderId="16" xfId="42" applyNumberFormat="1" applyFont="1" applyFill="1" applyBorder="1" applyAlignment="1" applyProtection="1">
      <alignment horizontal="right" vertical="center" wrapText="1"/>
      <protection/>
    </xf>
    <xf numFmtId="3" fontId="99" fillId="33" borderId="16" xfId="42" applyNumberFormat="1" applyFont="1" applyFill="1" applyBorder="1" applyAlignment="1" applyProtection="1">
      <alignment horizontal="right" vertical="center" wrapText="1"/>
      <protection/>
    </xf>
    <xf numFmtId="3" fontId="99" fillId="0" borderId="16" xfId="42" applyNumberFormat="1" applyFont="1" applyFill="1" applyBorder="1" applyAlignment="1" applyProtection="1">
      <alignment horizontal="right" vertical="center" wrapText="1"/>
      <protection/>
    </xf>
    <xf numFmtId="3" fontId="99" fillId="0" borderId="16" xfId="0" applyNumberFormat="1" applyFont="1" applyBorder="1" applyAlignment="1">
      <alignment horizontal="right" vertical="center" wrapText="1"/>
    </xf>
    <xf numFmtId="0" fontId="100" fillId="0" borderId="0" xfId="0" applyFont="1" applyBorder="1" applyAlignment="1">
      <alignment vertical="center" wrapText="1"/>
    </xf>
    <xf numFmtId="4" fontId="100" fillId="0" borderId="0" xfId="0" applyNumberFormat="1" applyFont="1" applyBorder="1" applyAlignment="1">
      <alignment vertical="center" wrapText="1"/>
    </xf>
    <xf numFmtId="172" fontId="100" fillId="0" borderId="0" xfId="0" applyNumberFormat="1" applyFont="1" applyBorder="1" applyAlignment="1">
      <alignment vertical="center" wrapText="1"/>
    </xf>
    <xf numFmtId="172" fontId="100" fillId="3" borderId="0" xfId="0" applyNumberFormat="1" applyFont="1" applyFill="1" applyBorder="1" applyAlignment="1">
      <alignment vertical="center" wrapText="1"/>
    </xf>
    <xf numFmtId="164" fontId="100" fillId="0" borderId="0" xfId="0" applyNumberFormat="1" applyFont="1" applyBorder="1" applyAlignment="1">
      <alignment vertical="center" wrapText="1"/>
    </xf>
    <xf numFmtId="164" fontId="99" fillId="0" borderId="0" xfId="0" applyNumberFormat="1" applyFont="1" applyBorder="1" applyAlignment="1">
      <alignment vertical="center" wrapText="1"/>
    </xf>
    <xf numFmtId="0" fontId="99" fillId="0" borderId="0" xfId="0" applyFont="1" applyBorder="1" applyAlignment="1">
      <alignment/>
    </xf>
    <xf numFmtId="166" fontId="100" fillId="0" borderId="16" xfId="42" applyFont="1" applyFill="1" applyBorder="1" applyAlignment="1" applyProtection="1">
      <alignment horizontal="right" vertical="center" wrapText="1"/>
      <protection/>
    </xf>
    <xf numFmtId="0" fontId="1" fillId="35" borderId="11" xfId="0" applyFont="1" applyFill="1" applyBorder="1" applyAlignment="1">
      <alignment vertical="center" wrapText="1"/>
    </xf>
    <xf numFmtId="4" fontId="1" fillId="35" borderId="11" xfId="0" applyNumberFormat="1" applyFont="1" applyFill="1" applyBorder="1" applyAlignment="1">
      <alignment vertical="center" wrapText="1"/>
    </xf>
    <xf numFmtId="3" fontId="1" fillId="35" borderId="11" xfId="0" applyNumberFormat="1" applyFont="1" applyFill="1" applyBorder="1" applyAlignment="1">
      <alignment vertical="center" wrapText="1"/>
    </xf>
    <xf numFmtId="3" fontId="5" fillId="36" borderId="16" xfId="42" applyNumberFormat="1" applyFont="1" applyFill="1" applyBorder="1" applyAlignment="1" applyProtection="1">
      <alignment horizontal="right" vertical="center" wrapText="1"/>
      <protection/>
    </xf>
    <xf numFmtId="174" fontId="5" fillId="35" borderId="16" xfId="0" applyNumberFormat="1" applyFont="1" applyFill="1" applyBorder="1" applyAlignment="1">
      <alignment horizontal="right" vertical="center" wrapText="1"/>
    </xf>
    <xf numFmtId="177" fontId="5" fillId="35" borderId="0" xfId="42" applyNumberFormat="1" applyFont="1" applyFill="1" applyBorder="1">
      <alignment/>
    </xf>
    <xf numFmtId="0" fontId="5" fillId="35" borderId="0" xfId="0" applyFont="1" applyFill="1" applyBorder="1" applyAlignment="1">
      <alignment/>
    </xf>
    <xf numFmtId="169" fontId="5" fillId="35" borderId="16" xfId="0" applyNumberFormat="1" applyFont="1" applyFill="1" applyBorder="1" applyAlignment="1">
      <alignment horizontal="right" vertical="center" wrapText="1"/>
    </xf>
    <xf numFmtId="0" fontId="100" fillId="0" borderId="11" xfId="0" applyFont="1" applyBorder="1" applyAlignment="1">
      <alignment vertical="center" wrapText="1"/>
    </xf>
    <xf numFmtId="3" fontId="100" fillId="0" borderId="11" xfId="0" applyNumberFormat="1" applyFont="1" applyBorder="1" applyAlignment="1">
      <alignment vertical="center" wrapText="1"/>
    </xf>
    <xf numFmtId="4" fontId="100" fillId="0" borderId="11" xfId="0" applyNumberFormat="1" applyFont="1" applyBorder="1" applyAlignment="1">
      <alignment vertical="center" wrapText="1"/>
    </xf>
    <xf numFmtId="168" fontId="99" fillId="0" borderId="16" xfId="0" applyNumberFormat="1" applyFont="1" applyBorder="1" applyAlignment="1">
      <alignment vertical="center" wrapText="1"/>
    </xf>
    <xf numFmtId="1" fontId="99" fillId="0" borderId="16" xfId="0" applyNumberFormat="1" applyFont="1" applyBorder="1" applyAlignment="1">
      <alignment horizontal="center" vertical="center" wrapText="1"/>
    </xf>
    <xf numFmtId="10" fontId="99" fillId="33" borderId="16" xfId="86" applyNumberFormat="1" applyFont="1" applyFill="1" applyBorder="1" applyAlignment="1" applyProtection="1">
      <alignment vertical="center" wrapText="1"/>
      <protection/>
    </xf>
    <xf numFmtId="2" fontId="99" fillId="33" borderId="16" xfId="0" applyNumberFormat="1" applyFont="1" applyFill="1" applyBorder="1" applyAlignment="1">
      <alignment vertical="center" wrapText="1"/>
    </xf>
    <xf numFmtId="2" fontId="99" fillId="0" borderId="16" xfId="0" applyNumberFormat="1" applyFont="1" applyBorder="1" applyAlignment="1">
      <alignment vertical="center" wrapText="1"/>
    </xf>
    <xf numFmtId="1" fontId="99" fillId="0" borderId="16" xfId="0" applyNumberFormat="1" applyFont="1" applyBorder="1" applyAlignment="1">
      <alignment horizontal="right" vertical="center" wrapText="1"/>
    </xf>
    <xf numFmtId="0" fontId="24" fillId="0" borderId="0" xfId="0" applyFont="1" applyAlignment="1">
      <alignment/>
    </xf>
    <xf numFmtId="0" fontId="5" fillId="0" borderId="27" xfId="0" applyFont="1" applyBorder="1" applyAlignment="1">
      <alignment/>
    </xf>
    <xf numFmtId="0" fontId="5" fillId="0" borderId="0" xfId="0" applyFont="1" applyAlignment="1">
      <alignment/>
    </xf>
    <xf numFmtId="0" fontId="1" fillId="0" borderId="0" xfId="0" applyFont="1" applyAlignment="1">
      <alignment horizontal="center" vertical="center"/>
    </xf>
    <xf numFmtId="0" fontId="1" fillId="0" borderId="0" xfId="0" applyFont="1" applyAlignment="1">
      <alignment/>
    </xf>
    <xf numFmtId="0" fontId="2" fillId="0" borderId="0" xfId="0" applyFont="1" applyAlignment="1">
      <alignment/>
    </xf>
    <xf numFmtId="0" fontId="25" fillId="0" borderId="0" xfId="0" applyFont="1" applyAlignment="1">
      <alignment/>
    </xf>
    <xf numFmtId="0" fontId="27" fillId="35" borderId="27" xfId="0" applyFont="1" applyFill="1" applyBorder="1" applyAlignment="1">
      <alignment horizontal="center" vertical="center" wrapText="1"/>
    </xf>
    <xf numFmtId="0" fontId="27" fillId="35" borderId="27" xfId="0" applyFont="1" applyFill="1" applyBorder="1" applyAlignment="1">
      <alignment vertical="center" wrapText="1"/>
    </xf>
    <xf numFmtId="0" fontId="3" fillId="35" borderId="27" xfId="0" applyFont="1" applyFill="1" applyBorder="1" applyAlignment="1">
      <alignment horizontal="center" vertical="center" wrapText="1"/>
    </xf>
    <xf numFmtId="0" fontId="3" fillId="35" borderId="27" xfId="0" applyFont="1" applyFill="1" applyBorder="1" applyAlignment="1">
      <alignment vertical="center" wrapText="1"/>
    </xf>
    <xf numFmtId="0" fontId="3" fillId="0" borderId="27" xfId="0" applyFont="1" applyBorder="1" applyAlignment="1">
      <alignment horizontal="center"/>
    </xf>
    <xf numFmtId="0" fontId="3" fillId="0" borderId="0" xfId="0" applyFont="1" applyAlignment="1">
      <alignment horizontal="center"/>
    </xf>
    <xf numFmtId="0" fontId="10" fillId="0" borderId="0" xfId="0" applyFont="1" applyAlignment="1">
      <alignment/>
    </xf>
    <xf numFmtId="0" fontId="2" fillId="35" borderId="27" xfId="0" applyFont="1" applyFill="1" applyBorder="1" applyAlignment="1">
      <alignment vertical="center" wrapText="1"/>
    </xf>
    <xf numFmtId="0" fontId="105" fillId="0" borderId="27" xfId="0" applyFont="1" applyBorder="1" applyAlignment="1">
      <alignment/>
    </xf>
    <xf numFmtId="0" fontId="105" fillId="0" borderId="0" xfId="0" applyFont="1" applyAlignment="1">
      <alignment/>
    </xf>
    <xf numFmtId="0" fontId="106" fillId="35" borderId="27" xfId="0" applyFont="1" applyFill="1" applyBorder="1" applyAlignment="1">
      <alignment vertical="center" wrapText="1"/>
    </xf>
    <xf numFmtId="0" fontId="106" fillId="35" borderId="27" xfId="0" applyFont="1" applyFill="1" applyBorder="1" applyAlignment="1">
      <alignment horizontal="center" vertical="center" wrapText="1"/>
    </xf>
    <xf numFmtId="0" fontId="15" fillId="35" borderId="27" xfId="0" applyFont="1" applyFill="1" applyBorder="1" applyAlignment="1">
      <alignment vertical="center" wrapText="1"/>
    </xf>
    <xf numFmtId="0" fontId="15" fillId="35" borderId="27" xfId="0" applyFont="1" applyFill="1" applyBorder="1" applyAlignment="1">
      <alignment horizontal="center" vertical="center" wrapText="1"/>
    </xf>
    <xf numFmtId="0" fontId="28" fillId="0" borderId="28" xfId="0" applyFont="1" applyBorder="1" applyAlignment="1">
      <alignment/>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0" fontId="107" fillId="37" borderId="27" xfId="83" applyFont="1" applyFill="1" applyBorder="1" applyAlignment="1">
      <alignment horizontal="center" vertical="center"/>
      <protection/>
    </xf>
    <xf numFmtId="0" fontId="2" fillId="37" borderId="27" xfId="83" applyFont="1" applyFill="1" applyBorder="1" applyAlignment="1">
      <alignment horizontal="justify" vertical="center"/>
      <protection/>
    </xf>
    <xf numFmtId="0" fontId="3" fillId="0" borderId="27" xfId="0" applyFont="1" applyBorder="1" applyAlignment="1">
      <alignment/>
    </xf>
    <xf numFmtId="0" fontId="3" fillId="0" borderId="0" xfId="0" applyFont="1" applyAlignment="1">
      <alignment/>
    </xf>
    <xf numFmtId="0" fontId="16" fillId="0" borderId="27" xfId="0" applyFont="1" applyBorder="1" applyAlignment="1">
      <alignment horizontal="center" vertical="center" wrapText="1"/>
    </xf>
    <xf numFmtId="0" fontId="108" fillId="35" borderId="27" xfId="0" applyFont="1" applyFill="1" applyBorder="1" applyAlignment="1">
      <alignment horizontal="center" vertical="center" wrapText="1"/>
    </xf>
    <xf numFmtId="0" fontId="108" fillId="35" borderId="27" xfId="0" applyFont="1" applyFill="1" applyBorder="1" applyAlignment="1">
      <alignment vertical="center" wrapText="1"/>
    </xf>
    <xf numFmtId="0" fontId="109" fillId="0" borderId="27" xfId="0" applyFont="1" applyBorder="1" applyAlignment="1">
      <alignment/>
    </xf>
    <xf numFmtId="0" fontId="109" fillId="0" borderId="0" xfId="0" applyFont="1" applyAlignment="1">
      <alignment/>
    </xf>
    <xf numFmtId="0" fontId="25" fillId="35" borderId="0" xfId="0" applyFont="1" applyFill="1" applyAlignment="1">
      <alignment/>
    </xf>
    <xf numFmtId="0" fontId="28" fillId="35" borderId="0" xfId="0" applyFont="1" applyFill="1" applyAlignment="1">
      <alignment/>
    </xf>
    <xf numFmtId="0" fontId="1" fillId="0" borderId="27" xfId="0" applyFont="1" applyBorder="1" applyAlignment="1">
      <alignment horizontal="center" vertical="center" wrapText="1"/>
    </xf>
    <xf numFmtId="0" fontId="110" fillId="35" borderId="0" xfId="0" applyFont="1" applyFill="1" applyAlignment="1">
      <alignment vertical="center" wrapText="1"/>
    </xf>
    <xf numFmtId="0" fontId="35" fillId="35" borderId="27"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11" fillId="35" borderId="0" xfId="0" applyFont="1" applyFill="1" applyAlignment="1">
      <alignment vertical="center" wrapText="1"/>
    </xf>
    <xf numFmtId="0" fontId="5" fillId="35" borderId="27" xfId="0" applyFont="1" applyFill="1" applyBorder="1" applyAlignment="1">
      <alignment horizontal="center" vertical="center" wrapText="1"/>
    </xf>
    <xf numFmtId="0" fontId="112" fillId="35" borderId="0" xfId="0" applyFont="1" applyFill="1" applyAlignment="1">
      <alignment vertical="center" wrapText="1"/>
    </xf>
    <xf numFmtId="0" fontId="113" fillId="35" borderId="0" xfId="0" applyFont="1" applyFill="1" applyAlignment="1">
      <alignment vertical="center" wrapText="1"/>
    </xf>
    <xf numFmtId="0" fontId="114" fillId="35" borderId="0" xfId="0" applyFont="1" applyFill="1" applyAlignment="1">
      <alignment vertical="center" wrapText="1"/>
    </xf>
    <xf numFmtId="0" fontId="110" fillId="35" borderId="0" xfId="0" applyFont="1" applyFill="1" applyAlignment="1">
      <alignment horizontal="center" vertical="center" wrapText="1"/>
    </xf>
    <xf numFmtId="0" fontId="113" fillId="0" borderId="27" xfId="0" applyFont="1" applyFill="1" applyBorder="1" applyAlignment="1">
      <alignment horizontal="left" vertical="center" wrapText="1"/>
    </xf>
    <xf numFmtId="0" fontId="113" fillId="0" borderId="27" xfId="0" applyFont="1" applyFill="1" applyBorder="1" applyAlignment="1">
      <alignment horizontal="center" vertical="center" wrapText="1"/>
    </xf>
    <xf numFmtId="3" fontId="113" fillId="0" borderId="27" xfId="0" applyNumberFormat="1" applyFont="1" applyBorder="1" applyAlignment="1">
      <alignment vertical="center"/>
    </xf>
    <xf numFmtId="0" fontId="113" fillId="0" borderId="27" xfId="0" applyFont="1" applyBorder="1" applyAlignment="1">
      <alignment horizontal="center" vertical="center" wrapText="1"/>
    </xf>
    <xf numFmtId="171" fontId="113" fillId="35" borderId="27" xfId="0" applyNumberFormat="1" applyFont="1" applyFill="1" applyBorder="1" applyAlignment="1">
      <alignment vertical="center"/>
    </xf>
    <xf numFmtId="10" fontId="113" fillId="0" borderId="27" xfId="0" applyNumberFormat="1" applyFont="1" applyBorder="1" applyAlignment="1">
      <alignment vertical="center"/>
    </xf>
    <xf numFmtId="0" fontId="113" fillId="0" borderId="27" xfId="0" applyFont="1" applyBorder="1" applyAlignment="1">
      <alignment vertical="center"/>
    </xf>
    <xf numFmtId="0" fontId="113" fillId="0" borderId="0" xfId="0" applyFont="1" applyAlignment="1">
      <alignment vertical="center"/>
    </xf>
    <xf numFmtId="0" fontId="113" fillId="0" borderId="27" xfId="0" applyFont="1" applyFill="1" applyBorder="1" applyAlignment="1" applyProtection="1">
      <alignment horizontal="left" vertical="center" wrapText="1"/>
      <protection/>
    </xf>
    <xf numFmtId="3" fontId="113" fillId="0" borderId="27" xfId="0" applyNumberFormat="1" applyFont="1" applyBorder="1" applyAlignment="1">
      <alignment horizontal="center" vertical="center"/>
    </xf>
    <xf numFmtId="0" fontId="113" fillId="0" borderId="27" xfId="0" applyFont="1" applyBorder="1" applyAlignment="1">
      <alignment/>
    </xf>
    <xf numFmtId="0" fontId="113" fillId="0" borderId="0" xfId="0" applyFont="1" applyAlignment="1">
      <alignment/>
    </xf>
    <xf numFmtId="0" fontId="2" fillId="35" borderId="27" xfId="0" applyFont="1" applyFill="1" applyBorder="1" applyAlignment="1">
      <alignment horizontal="center" vertical="center" wrapText="1"/>
    </xf>
    <xf numFmtId="0" fontId="0" fillId="35" borderId="0" xfId="0" applyFill="1" applyAlignment="1">
      <alignment/>
    </xf>
    <xf numFmtId="0" fontId="0" fillId="35" borderId="0" xfId="0" applyFill="1" applyAlignment="1">
      <alignment vertical="center"/>
    </xf>
    <xf numFmtId="0" fontId="115" fillId="35" borderId="0" xfId="0" applyFont="1" applyFill="1" applyAlignment="1">
      <alignment horizontal="center"/>
    </xf>
    <xf numFmtId="0" fontId="116" fillId="35" borderId="0" xfId="0" applyFont="1" applyFill="1" applyAlignment="1">
      <alignment/>
    </xf>
    <xf numFmtId="0" fontId="117" fillId="35" borderId="0" xfId="0" applyFont="1" applyFill="1" applyAlignment="1">
      <alignment/>
    </xf>
    <xf numFmtId="0" fontId="118" fillId="35" borderId="0" xfId="0" applyFont="1" applyFill="1" applyAlignment="1">
      <alignment horizontal="center"/>
    </xf>
    <xf numFmtId="0" fontId="75" fillId="35" borderId="0" xfId="0" applyFont="1" applyFill="1" applyAlignment="1">
      <alignment/>
    </xf>
    <xf numFmtId="0" fontId="37" fillId="35" borderId="0" xfId="0" applyFont="1" applyFill="1" applyAlignment="1">
      <alignment/>
    </xf>
    <xf numFmtId="0" fontId="119" fillId="35" borderId="0" xfId="0" applyFont="1" applyFill="1" applyAlignment="1">
      <alignment/>
    </xf>
    <xf numFmtId="3" fontId="119" fillId="35" borderId="0" xfId="0" applyNumberFormat="1" applyFont="1" applyFill="1" applyAlignment="1">
      <alignment/>
    </xf>
    <xf numFmtId="0" fontId="113" fillId="35" borderId="0" xfId="0" applyFont="1" applyFill="1" applyAlignment="1">
      <alignment horizontal="center"/>
    </xf>
    <xf numFmtId="0" fontId="120" fillId="35" borderId="0" xfId="0" applyFont="1" applyFill="1" applyAlignment="1">
      <alignment/>
    </xf>
    <xf numFmtId="0" fontId="121" fillId="35" borderId="0" xfId="0" applyFont="1" applyFill="1" applyAlignment="1">
      <alignment/>
    </xf>
    <xf numFmtId="0" fontId="107" fillId="35" borderId="27" xfId="0" applyFont="1" applyFill="1" applyBorder="1" applyAlignment="1">
      <alignment vertical="center" wrapText="1"/>
    </xf>
    <xf numFmtId="0" fontId="122" fillId="35" borderId="27" xfId="0" applyFont="1" applyFill="1" applyBorder="1" applyAlignment="1">
      <alignment horizontal="center" vertical="center"/>
    </xf>
    <xf numFmtId="3" fontId="122" fillId="35" borderId="27" xfId="0" applyNumberFormat="1" applyFont="1" applyFill="1" applyBorder="1" applyAlignment="1">
      <alignment horizontal="center" vertical="center"/>
    </xf>
    <xf numFmtId="0" fontId="38" fillId="35" borderId="27" xfId="0" applyFont="1" applyFill="1" applyBorder="1" applyAlignment="1">
      <alignment horizontal="center" vertical="center" wrapText="1"/>
    </xf>
    <xf numFmtId="0" fontId="107" fillId="35" borderId="27" xfId="0" applyFont="1" applyFill="1" applyBorder="1" applyAlignment="1">
      <alignment horizontal="center" vertical="center"/>
    </xf>
    <xf numFmtId="49" fontId="107" fillId="35" borderId="27" xfId="49" applyNumberFormat="1" applyFont="1" applyFill="1" applyBorder="1" applyAlignment="1">
      <alignment horizontal="right" vertical="center" wrapText="1"/>
    </xf>
    <xf numFmtId="174" fontId="107" fillId="35" borderId="27" xfId="49" applyNumberFormat="1" applyFont="1" applyFill="1" applyBorder="1" applyAlignment="1">
      <alignment horizontal="right" vertical="center" wrapText="1"/>
    </xf>
    <xf numFmtId="193" fontId="107" fillId="35" borderId="27" xfId="49" applyNumberFormat="1" applyFont="1" applyFill="1" applyBorder="1" applyAlignment="1">
      <alignment horizontal="right" vertical="center" wrapText="1"/>
    </xf>
    <xf numFmtId="2" fontId="107" fillId="35" borderId="27" xfId="49" applyNumberFormat="1" applyFont="1" applyFill="1" applyBorder="1" applyAlignment="1">
      <alignment horizontal="right" vertical="center" wrapText="1"/>
    </xf>
    <xf numFmtId="184" fontId="107" fillId="35" borderId="27" xfId="49" applyNumberFormat="1" applyFont="1" applyFill="1" applyBorder="1" applyAlignment="1">
      <alignment horizontal="right" vertical="center" wrapText="1"/>
    </xf>
    <xf numFmtId="172" fontId="107" fillId="35" borderId="27" xfId="49" applyNumberFormat="1" applyFont="1" applyFill="1" applyBorder="1" applyAlignment="1">
      <alignment horizontal="right" vertical="center" wrapText="1"/>
    </xf>
    <xf numFmtId="183" fontId="107" fillId="35" borderId="27" xfId="49" applyNumberFormat="1" applyFont="1" applyFill="1" applyBorder="1" applyAlignment="1">
      <alignment horizontal="right" vertical="center" wrapText="1"/>
    </xf>
    <xf numFmtId="0" fontId="97" fillId="35" borderId="0" xfId="0" applyFont="1" applyFill="1" applyAlignment="1">
      <alignment/>
    </xf>
    <xf numFmtId="0" fontId="16" fillId="35" borderId="27" xfId="0" applyFont="1" applyFill="1" applyBorder="1" applyAlignment="1">
      <alignment horizontal="justify" vertical="center"/>
    </xf>
    <xf numFmtId="1" fontId="107" fillId="35" borderId="27" xfId="49" applyNumberFormat="1" applyFont="1" applyFill="1" applyBorder="1" applyAlignment="1">
      <alignment horizontal="right" vertical="center" wrapText="1"/>
    </xf>
    <xf numFmtId="0" fontId="123" fillId="35" borderId="27" xfId="0" applyFont="1" applyFill="1" applyBorder="1" applyAlignment="1">
      <alignment horizontal="center" vertical="center"/>
    </xf>
    <xf numFmtId="0" fontId="32" fillId="35" borderId="27" xfId="0" applyFont="1" applyFill="1" applyBorder="1" applyAlignment="1">
      <alignment horizontal="justify" vertical="center"/>
    </xf>
    <xf numFmtId="49" fontId="124" fillId="35" borderId="27" xfId="49" applyNumberFormat="1" applyFont="1" applyFill="1" applyBorder="1" applyAlignment="1">
      <alignment horizontal="right" vertical="center" wrapText="1"/>
    </xf>
    <xf numFmtId="174" fontId="124" fillId="35" borderId="27" xfId="49" applyNumberFormat="1" applyFont="1" applyFill="1" applyBorder="1" applyAlignment="1">
      <alignment horizontal="right" vertical="center" wrapText="1"/>
    </xf>
    <xf numFmtId="3" fontId="124" fillId="35" borderId="27" xfId="49" applyNumberFormat="1" applyFont="1" applyFill="1" applyBorder="1" applyAlignment="1">
      <alignment horizontal="right" vertical="center" wrapText="1"/>
    </xf>
    <xf numFmtId="172" fontId="124" fillId="35" borderId="27" xfId="49" applyNumberFormat="1" applyFont="1" applyFill="1" applyBorder="1" applyAlignment="1">
      <alignment horizontal="right" vertical="center" wrapText="1"/>
    </xf>
    <xf numFmtId="1" fontId="124" fillId="35" borderId="27" xfId="49" applyNumberFormat="1" applyFont="1" applyFill="1" applyBorder="1" applyAlignment="1">
      <alignment horizontal="right" vertical="center" wrapText="1"/>
    </xf>
    <xf numFmtId="183" fontId="124" fillId="35" borderId="27" xfId="49" applyNumberFormat="1" applyFont="1" applyFill="1" applyBorder="1" applyAlignment="1">
      <alignment horizontal="right" vertical="center" wrapText="1"/>
    </xf>
    <xf numFmtId="175" fontId="82" fillId="35" borderId="0" xfId="49" applyFont="1" applyFill="1" applyAlignment="1">
      <alignment/>
    </xf>
    <xf numFmtId="194" fontId="0" fillId="35" borderId="0" xfId="0" applyNumberFormat="1" applyFill="1" applyAlignment="1">
      <alignment/>
    </xf>
    <xf numFmtId="193" fontId="124" fillId="35" borderId="27" xfId="49" applyNumberFormat="1" applyFont="1" applyFill="1" applyBorder="1" applyAlignment="1">
      <alignment horizontal="right" vertical="center" wrapText="1"/>
    </xf>
    <xf numFmtId="2" fontId="124" fillId="35" borderId="27" xfId="49" applyNumberFormat="1" applyFont="1" applyFill="1" applyBorder="1" applyAlignment="1">
      <alignment horizontal="right" vertical="center" wrapText="1"/>
    </xf>
    <xf numFmtId="171" fontId="124" fillId="35" borderId="27" xfId="49" applyNumberFormat="1" applyFont="1" applyFill="1" applyBorder="1" applyAlignment="1">
      <alignment horizontal="right" vertical="center" wrapText="1"/>
    </xf>
    <xf numFmtId="0" fontId="39" fillId="35" borderId="27" xfId="0" applyFont="1" applyFill="1" applyBorder="1" applyAlignment="1">
      <alignment horizontal="justify" vertical="center"/>
    </xf>
    <xf numFmtId="0" fontId="40" fillId="35" borderId="27" xfId="0" applyFont="1" applyFill="1" applyBorder="1" applyAlignment="1">
      <alignment horizontal="justify" vertical="center"/>
    </xf>
    <xf numFmtId="0" fontId="16" fillId="35" borderId="27" xfId="81" applyFont="1" applyFill="1" applyBorder="1" applyAlignment="1">
      <alignment horizontal="center" vertical="center" wrapText="1"/>
      <protection/>
    </xf>
    <xf numFmtId="49" fontId="2" fillId="35" borderId="27" xfId="49" applyNumberFormat="1" applyFont="1" applyFill="1" applyBorder="1" applyAlignment="1">
      <alignment horizontal="right" vertical="center" wrapText="1"/>
    </xf>
    <xf numFmtId="174" fontId="2" fillId="35" borderId="27" xfId="49" applyNumberFormat="1" applyFont="1" applyFill="1" applyBorder="1" applyAlignment="1">
      <alignment horizontal="right" vertical="center" wrapText="1"/>
    </xf>
    <xf numFmtId="3" fontId="107" fillId="35" borderId="27" xfId="49" applyNumberFormat="1" applyFont="1" applyFill="1" applyBorder="1" applyAlignment="1">
      <alignment horizontal="right" vertical="center" wrapText="1"/>
    </xf>
    <xf numFmtId="172" fontId="2" fillId="35" borderId="27" xfId="49" applyNumberFormat="1" applyFont="1" applyFill="1" applyBorder="1" applyAlignment="1">
      <alignment horizontal="right" vertical="center" wrapText="1"/>
    </xf>
    <xf numFmtId="1" fontId="2" fillId="35" borderId="27" xfId="49" applyNumberFormat="1" applyFont="1" applyFill="1" applyBorder="1" applyAlignment="1">
      <alignment horizontal="right" vertical="center" wrapText="1"/>
    </xf>
    <xf numFmtId="0" fontId="31" fillId="35" borderId="27" xfId="81" applyFont="1" applyFill="1" applyBorder="1" applyAlignment="1">
      <alignment horizontal="center" vertical="center"/>
      <protection/>
    </xf>
    <xf numFmtId="49" fontId="3" fillId="35" borderId="27" xfId="49" applyNumberFormat="1" applyFont="1" applyFill="1" applyBorder="1" applyAlignment="1">
      <alignment horizontal="right" vertical="center" wrapText="1"/>
    </xf>
    <xf numFmtId="174" fontId="3" fillId="35" borderId="27" xfId="49" applyNumberFormat="1" applyFont="1" applyFill="1" applyBorder="1" applyAlignment="1">
      <alignment horizontal="right" vertical="center" wrapText="1"/>
    </xf>
    <xf numFmtId="172" fontId="3" fillId="35" borderId="27" xfId="49" applyNumberFormat="1" applyFont="1" applyFill="1" applyBorder="1" applyAlignment="1">
      <alignment horizontal="right" vertical="center" wrapText="1"/>
    </xf>
    <xf numFmtId="1" fontId="3" fillId="35" borderId="27" xfId="49" applyNumberFormat="1" applyFont="1" applyFill="1" applyBorder="1" applyAlignment="1">
      <alignment horizontal="right" vertical="center" wrapText="1"/>
    </xf>
    <xf numFmtId="0" fontId="16" fillId="35" borderId="27" xfId="81" applyFont="1" applyFill="1" applyBorder="1" applyAlignment="1">
      <alignment horizontal="center" vertical="center"/>
      <protection/>
    </xf>
    <xf numFmtId="0" fontId="41" fillId="35" borderId="27" xfId="0" applyFont="1" applyFill="1" applyBorder="1" applyAlignment="1">
      <alignment horizontal="justify" vertical="center"/>
    </xf>
    <xf numFmtId="1" fontId="123" fillId="35" borderId="27" xfId="49" applyNumberFormat="1" applyFont="1" applyFill="1" applyBorder="1" applyAlignment="1">
      <alignment horizontal="right" vertical="center" wrapText="1"/>
    </xf>
    <xf numFmtId="174" fontId="123" fillId="35" borderId="27" xfId="49" applyNumberFormat="1" applyFont="1" applyFill="1" applyBorder="1" applyAlignment="1">
      <alignment horizontal="right" vertical="center" wrapText="1"/>
    </xf>
    <xf numFmtId="1" fontId="31" fillId="35" borderId="27" xfId="49" applyNumberFormat="1" applyFont="1" applyFill="1" applyBorder="1" applyAlignment="1">
      <alignment horizontal="right" vertical="center" wrapText="1"/>
    </xf>
    <xf numFmtId="174" fontId="31" fillId="35" borderId="27" xfId="49" applyNumberFormat="1" applyFont="1" applyFill="1" applyBorder="1" applyAlignment="1">
      <alignment horizontal="right" vertical="center" wrapText="1"/>
    </xf>
    <xf numFmtId="3" fontId="123" fillId="35" borderId="27" xfId="49" applyNumberFormat="1" applyFont="1" applyFill="1" applyBorder="1" applyAlignment="1">
      <alignment horizontal="right" vertical="center" wrapText="1"/>
    </xf>
    <xf numFmtId="1" fontId="122" fillId="35" borderId="27" xfId="49" applyNumberFormat="1" applyFont="1" applyFill="1" applyBorder="1" applyAlignment="1">
      <alignment horizontal="right" vertical="center" wrapText="1"/>
    </xf>
    <xf numFmtId="172" fontId="16" fillId="35" borderId="27" xfId="49" applyNumberFormat="1" applyFont="1" applyFill="1" applyBorder="1" applyAlignment="1">
      <alignment horizontal="right" vertical="center" wrapText="1"/>
    </xf>
    <xf numFmtId="1" fontId="16" fillId="35" borderId="27" xfId="49" applyNumberFormat="1" applyFont="1" applyFill="1" applyBorder="1" applyAlignment="1">
      <alignment horizontal="right" vertical="center" wrapText="1"/>
    </xf>
    <xf numFmtId="172" fontId="31" fillId="35" borderId="27" xfId="49" applyNumberFormat="1" applyFont="1" applyFill="1" applyBorder="1" applyAlignment="1">
      <alignment horizontal="right" vertical="center" wrapText="1"/>
    </xf>
    <xf numFmtId="172" fontId="123" fillId="35" borderId="27" xfId="49" applyNumberFormat="1" applyFont="1" applyFill="1" applyBorder="1" applyAlignment="1">
      <alignment horizontal="right" vertical="center" wrapText="1"/>
    </xf>
    <xf numFmtId="0" fontId="42" fillId="35" borderId="27" xfId="0" applyFont="1" applyFill="1" applyBorder="1" applyAlignment="1">
      <alignment horizontal="justify" vertical="center"/>
    </xf>
    <xf numFmtId="183" fontId="122" fillId="35" borderId="27" xfId="49" applyNumberFormat="1" applyFont="1" applyFill="1" applyBorder="1" applyAlignment="1">
      <alignment horizontal="right" vertical="center" wrapText="1"/>
    </xf>
    <xf numFmtId="172" fontId="122" fillId="35" borderId="27" xfId="49" applyNumberFormat="1" applyFont="1" applyFill="1" applyBorder="1" applyAlignment="1">
      <alignment horizontal="right" vertical="center" wrapText="1"/>
    </xf>
    <xf numFmtId="0" fontId="31" fillId="35" borderId="27" xfId="0" applyFont="1" applyFill="1" applyBorder="1" applyAlignment="1">
      <alignment horizontal="justify" vertical="center"/>
    </xf>
    <xf numFmtId="1" fontId="123" fillId="35" borderId="27" xfId="49" applyNumberFormat="1" applyFont="1" applyFill="1" applyBorder="1" applyAlignment="1">
      <alignment vertical="center" wrapText="1"/>
    </xf>
    <xf numFmtId="174" fontId="123" fillId="35" borderId="27" xfId="49" applyNumberFormat="1" applyFont="1" applyFill="1" applyBorder="1" applyAlignment="1">
      <alignment horizontal="center" vertical="center" wrapText="1"/>
    </xf>
    <xf numFmtId="174" fontId="123" fillId="35" borderId="27" xfId="49" applyNumberFormat="1" applyFont="1" applyFill="1" applyBorder="1" applyAlignment="1">
      <alignment vertical="center" wrapText="1"/>
    </xf>
    <xf numFmtId="172" fontId="123" fillId="35" borderId="27" xfId="49" applyNumberFormat="1" applyFont="1" applyFill="1" applyBorder="1" applyAlignment="1">
      <alignment vertical="center" wrapText="1"/>
    </xf>
    <xf numFmtId="172" fontId="123" fillId="35" borderId="27" xfId="49" applyNumberFormat="1" applyFont="1" applyFill="1" applyBorder="1" applyAlignment="1">
      <alignment horizontal="center" vertical="center" wrapText="1"/>
    </xf>
    <xf numFmtId="0" fontId="115" fillId="35" borderId="27" xfId="0" applyFont="1" applyFill="1" applyBorder="1" applyAlignment="1">
      <alignment horizontal="center"/>
    </xf>
    <xf numFmtId="3" fontId="123" fillId="35" borderId="27" xfId="49" applyNumberFormat="1" applyFont="1" applyFill="1" applyBorder="1" applyAlignment="1">
      <alignment vertical="center" wrapText="1"/>
    </xf>
    <xf numFmtId="183" fontId="123" fillId="35" borderId="27" xfId="49" applyNumberFormat="1" applyFont="1" applyFill="1" applyBorder="1" applyAlignment="1">
      <alignment vertical="center" wrapText="1"/>
    </xf>
    <xf numFmtId="184" fontId="123" fillId="35" borderId="27" xfId="49" applyNumberFormat="1" applyFont="1" applyFill="1" applyBorder="1" applyAlignment="1">
      <alignment vertical="center" wrapText="1"/>
    </xf>
    <xf numFmtId="0" fontId="123" fillId="35" borderId="0" xfId="0" applyFont="1" applyFill="1" applyAlignment="1">
      <alignment horizontal="center"/>
    </xf>
    <xf numFmtId="3" fontId="113" fillId="35" borderId="0" xfId="0" applyNumberFormat="1" applyFont="1" applyFill="1" applyAlignment="1">
      <alignment vertical="center" wrapText="1"/>
    </xf>
    <xf numFmtId="3" fontId="0" fillId="35" borderId="0" xfId="0" applyNumberFormat="1" applyFill="1" applyAlignment="1">
      <alignment/>
    </xf>
    <xf numFmtId="0" fontId="2" fillId="35" borderId="27" xfId="0" applyFont="1" applyFill="1" applyBorder="1" applyAlignment="1">
      <alignment horizontal="center" vertical="center" wrapText="1"/>
    </xf>
    <xf numFmtId="0" fontId="3" fillId="35" borderId="27" xfId="0" applyFont="1" applyFill="1" applyBorder="1" applyAlignment="1">
      <alignment horizontal="center"/>
    </xf>
    <xf numFmtId="0" fontId="3" fillId="35" borderId="27" xfId="0" applyFont="1" applyFill="1" applyBorder="1" applyAlignment="1">
      <alignment/>
    </xf>
    <xf numFmtId="0" fontId="105" fillId="35" borderId="27" xfId="0" applyFont="1" applyFill="1" applyBorder="1" applyAlignment="1">
      <alignment/>
    </xf>
    <xf numFmtId="0" fontId="12" fillId="35" borderId="29"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11" fillId="35" borderId="0" xfId="0" applyFont="1" applyFill="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26" fillId="0" borderId="0" xfId="0" applyFont="1" applyAlignment="1">
      <alignment horizontal="center"/>
    </xf>
    <xf numFmtId="0" fontId="1" fillId="0" borderId="0" xfId="0" applyFont="1" applyAlignment="1">
      <alignment horizont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0" fillId="0" borderId="0" xfId="0" applyFont="1" applyAlignment="1">
      <alignment horizontal="center"/>
    </xf>
    <xf numFmtId="0" fontId="28" fillId="0" borderId="28" xfId="0" applyFont="1" applyBorder="1" applyAlignment="1">
      <alignment horizontal="center"/>
    </xf>
    <xf numFmtId="0" fontId="5" fillId="0" borderId="0" xfId="0" applyFont="1" applyAlignment="1">
      <alignment horizontal="left" wrapText="1"/>
    </xf>
    <xf numFmtId="0" fontId="113" fillId="0" borderId="27" xfId="0" applyFont="1" applyBorder="1" applyAlignment="1">
      <alignment horizontal="center" vertical="center" wrapText="1"/>
    </xf>
    <xf numFmtId="0" fontId="101" fillId="33" borderId="32" xfId="0" applyFont="1" applyFill="1" applyBorder="1" applyAlignment="1">
      <alignment horizontal="center" vertical="center" wrapText="1"/>
    </xf>
    <xf numFmtId="0" fontId="101" fillId="0" borderId="10" xfId="0" applyFont="1" applyBorder="1" applyAlignment="1">
      <alignment horizontal="center" vertical="center" wrapText="1"/>
    </xf>
    <xf numFmtId="0" fontId="99" fillId="0" borderId="0" xfId="0" applyFont="1" applyBorder="1" applyAlignment="1">
      <alignment horizontal="left"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34" xfId="0" applyFont="1" applyBorder="1" applyAlignment="1">
      <alignment horizontal="center" vertical="center" wrapText="1"/>
    </xf>
    <xf numFmtId="0" fontId="100" fillId="0" borderId="0" xfId="0" applyFont="1" applyBorder="1" applyAlignment="1">
      <alignment horizontal="right"/>
    </xf>
    <xf numFmtId="0" fontId="125" fillId="0" borderId="0" xfId="0" applyFont="1" applyBorder="1" applyAlignment="1">
      <alignment horizontal="center" vertical="center" wrapText="1"/>
    </xf>
    <xf numFmtId="0" fontId="126" fillId="0" borderId="0" xfId="0" applyFont="1" applyBorder="1" applyAlignment="1">
      <alignment horizontal="center" vertical="center" wrapText="1"/>
    </xf>
    <xf numFmtId="0" fontId="100" fillId="0" borderId="10" xfId="0" applyFont="1" applyBorder="1" applyAlignment="1">
      <alignment horizontal="center" vertical="center" wrapText="1"/>
    </xf>
    <xf numFmtId="0" fontId="10" fillId="35" borderId="10" xfId="0" applyFont="1" applyFill="1" applyBorder="1" applyAlignment="1">
      <alignment horizontal="center" vertical="center" wrapText="1"/>
    </xf>
    <xf numFmtId="0" fontId="5" fillId="35" borderId="35" xfId="0" applyFont="1" applyFill="1" applyBorder="1" applyAlignment="1">
      <alignment horizontal="left" vertical="center" wrapText="1"/>
    </xf>
    <xf numFmtId="0" fontId="99" fillId="0" borderId="0" xfId="0" applyFont="1" applyBorder="1" applyAlignment="1">
      <alignment horizontal="left" vertical="center"/>
    </xf>
    <xf numFmtId="0" fontId="10" fillId="36" borderId="10" xfId="0" applyFont="1" applyFill="1" applyBorder="1" applyAlignment="1">
      <alignment horizontal="center" vertical="center" wrapText="1"/>
    </xf>
    <xf numFmtId="0" fontId="1" fillId="35" borderId="0" xfId="0" applyFont="1" applyFill="1" applyBorder="1" applyAlignment="1">
      <alignment horizontal="center"/>
    </xf>
    <xf numFmtId="0" fontId="12" fillId="35" borderId="0"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02" fillId="0" borderId="10" xfId="0" applyFont="1" applyBorder="1" applyAlignment="1">
      <alignment horizontal="center" vertical="center" wrapText="1"/>
    </xf>
    <xf numFmtId="0" fontId="99" fillId="0" borderId="35" xfId="0" applyFont="1" applyBorder="1" applyAlignment="1">
      <alignment horizontal="left" vertical="center" wrapText="1"/>
    </xf>
    <xf numFmtId="0" fontId="102" fillId="33" borderId="10" xfId="0" applyFont="1" applyFill="1" applyBorder="1" applyAlignment="1">
      <alignment horizontal="center" vertical="center" wrapText="1"/>
    </xf>
    <xf numFmtId="0" fontId="100" fillId="0" borderId="0" xfId="0" applyFont="1" applyBorder="1" applyAlignment="1">
      <alignment horizontal="center"/>
    </xf>
    <xf numFmtId="0" fontId="101" fillId="10" borderId="36" xfId="0" applyFont="1" applyFill="1" applyBorder="1" applyAlignment="1">
      <alignment horizontal="center" vertical="center" wrapText="1"/>
    </xf>
    <xf numFmtId="0" fontId="101" fillId="10" borderId="0" xfId="0" applyFont="1" applyFill="1" applyAlignment="1">
      <alignment horizontal="center" vertical="center" wrapText="1"/>
    </xf>
    <xf numFmtId="0" fontId="102" fillId="0" borderId="32" xfId="0" applyFont="1" applyBorder="1" applyAlignment="1">
      <alignment horizontal="center" vertical="center" wrapText="1"/>
    </xf>
    <xf numFmtId="0" fontId="102" fillId="0" borderId="34" xfId="0" applyFont="1" applyBorder="1" applyAlignment="1">
      <alignment horizontal="center" vertical="center" wrapText="1"/>
    </xf>
    <xf numFmtId="0" fontId="102" fillId="0" borderId="33" xfId="0" applyFont="1" applyBorder="1" applyAlignment="1">
      <alignment horizontal="center" vertical="center" wrapText="1"/>
    </xf>
    <xf numFmtId="0" fontId="102" fillId="0" borderId="11" xfId="0" applyFont="1" applyBorder="1" applyAlignment="1">
      <alignment horizontal="center" vertical="center" wrapText="1"/>
    </xf>
    <xf numFmtId="0" fontId="102" fillId="0" borderId="37" xfId="0" applyFont="1" applyBorder="1" applyAlignment="1">
      <alignment horizontal="center" vertical="center" wrapText="1"/>
    </xf>
    <xf numFmtId="0" fontId="1" fillId="35" borderId="0" xfId="0" applyFont="1" applyFill="1" applyAlignment="1">
      <alignment horizontal="center"/>
    </xf>
    <xf numFmtId="0" fontId="12" fillId="35" borderId="0" xfId="0" applyFont="1" applyFill="1" applyAlignment="1">
      <alignment horizontal="center" vertical="center" wrapText="1"/>
    </xf>
    <xf numFmtId="0" fontId="13" fillId="35" borderId="0"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5" borderId="31"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25" xfId="0" applyFont="1" applyFill="1" applyBorder="1" applyAlignment="1">
      <alignment horizontal="center" vertical="center" wrapText="1"/>
    </xf>
    <xf numFmtId="0" fontId="10" fillId="35" borderId="22"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5" fillId="35" borderId="0" xfId="0" applyFont="1" applyFill="1" applyAlignment="1">
      <alignment horizontal="left" vertical="center"/>
    </xf>
    <xf numFmtId="0" fontId="10" fillId="35" borderId="0" xfId="0" applyFont="1" applyFill="1" applyAlignment="1">
      <alignment horizontal="center" vertical="center" wrapText="1"/>
    </xf>
    <xf numFmtId="0" fontId="5" fillId="35" borderId="38" xfId="0" applyFont="1" applyFill="1" applyBorder="1" applyAlignment="1">
      <alignment horizontal="left" vertical="center" wrapText="1"/>
    </xf>
    <xf numFmtId="0" fontId="5" fillId="35" borderId="0" xfId="0" applyFont="1" applyFill="1" applyAlignment="1" quotePrefix="1">
      <alignment horizontal="left" vertical="center" wrapText="1"/>
    </xf>
    <xf numFmtId="0" fontId="5" fillId="35" borderId="0" xfId="0" applyFont="1" applyFill="1" applyBorder="1" applyAlignment="1">
      <alignment horizontal="left" wrapText="1"/>
    </xf>
    <xf numFmtId="0" fontId="1" fillId="35" borderId="21"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0" fillId="35" borderId="0" xfId="0" applyFont="1" applyFill="1" applyAlignment="1">
      <alignment horizontal="center" vertical="center" wrapText="1"/>
    </xf>
    <xf numFmtId="0" fontId="21" fillId="35" borderId="0" xfId="0" applyFont="1" applyFill="1" applyAlignment="1">
      <alignment horizontal="center" vertical="center" wrapText="1"/>
    </xf>
    <xf numFmtId="0" fontId="6" fillId="0" borderId="35" xfId="0" applyFont="1" applyBorder="1" applyAlignment="1">
      <alignment horizontal="left"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1" fillId="33"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7"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1" fillId="35" borderId="11" xfId="0" applyFont="1" applyFill="1" applyBorder="1" applyAlignment="1">
      <alignment horizontal="center" vertical="center" wrapText="1"/>
    </xf>
    <xf numFmtId="0" fontId="11" fillId="0" borderId="10" xfId="0" applyFont="1" applyBorder="1" applyAlignment="1">
      <alignment horizontal="center" vertical="center" wrapText="1"/>
    </xf>
    <xf numFmtId="0" fontId="5" fillId="0" borderId="35" xfId="0" applyFont="1" applyBorder="1" applyAlignment="1">
      <alignment horizontal="left" wrapText="1"/>
    </xf>
    <xf numFmtId="0" fontId="10" fillId="0" borderId="10" xfId="0" applyFont="1" applyBorder="1" applyAlignment="1">
      <alignment horizontal="center" vertical="center" wrapText="1"/>
    </xf>
    <xf numFmtId="0" fontId="1" fillId="0" borderId="0" xfId="0" applyFont="1" applyBorder="1" applyAlignment="1">
      <alignment horizontal="right"/>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27" fillId="35" borderId="0" xfId="0" applyFont="1" applyFill="1" applyAlignment="1">
      <alignment horizontal="center" vertical="center"/>
    </xf>
    <xf numFmtId="0" fontId="127" fillId="35" borderId="0" xfId="0" applyFont="1" applyFill="1" applyAlignment="1">
      <alignment horizontal="center" vertical="center" wrapText="1"/>
    </xf>
    <xf numFmtId="0" fontId="118" fillId="35" borderId="28" xfId="0" applyFont="1" applyFill="1" applyBorder="1" applyAlignment="1">
      <alignment horizontal="right"/>
    </xf>
    <xf numFmtId="0" fontId="36" fillId="35" borderId="27" xfId="0" applyFont="1" applyFill="1" applyBorder="1" applyAlignment="1">
      <alignment horizontal="center" vertical="center" wrapText="1"/>
    </xf>
    <xf numFmtId="0" fontId="4" fillId="35" borderId="27" xfId="0" applyFont="1" applyFill="1" applyBorder="1" applyAlignment="1">
      <alignment horizontal="center" vertical="center"/>
    </xf>
    <xf numFmtId="0" fontId="107" fillId="35" borderId="27" xfId="0" applyFont="1" applyFill="1" applyBorder="1" applyAlignment="1">
      <alignment horizontal="center" vertical="center"/>
    </xf>
    <xf numFmtId="0" fontId="36" fillId="35" borderId="27" xfId="0" applyFont="1" applyFill="1" applyBorder="1" applyAlignment="1">
      <alignment horizontal="center" vertical="center"/>
    </xf>
    <xf numFmtId="0" fontId="107" fillId="35" borderId="27" xfId="0" applyFont="1" applyFill="1" applyBorder="1" applyAlignment="1">
      <alignment horizontal="center" vertical="center" wrapText="1"/>
    </xf>
    <xf numFmtId="0" fontId="113" fillId="35" borderId="0" xfId="0" applyFont="1" applyFill="1" applyAlignment="1">
      <alignment horizontal="left" vertical="center" wrapText="1"/>
    </xf>
    <xf numFmtId="0" fontId="5" fillId="35" borderId="0" xfId="0" applyFont="1" applyFill="1" applyAlignment="1">
      <alignment horizontal="left" vertical="center" wrapText="1"/>
    </xf>
    <xf numFmtId="0" fontId="26" fillId="0" borderId="0" xfId="0" applyFont="1" applyAlignment="1">
      <alignment horizontal="center" vertical="center"/>
    </xf>
    <xf numFmtId="0" fontId="25" fillId="0" borderId="28" xfId="0" applyFont="1" applyBorder="1" applyAlignment="1">
      <alignment horizontal="right"/>
    </xf>
    <xf numFmtId="3" fontId="105" fillId="0" borderId="27" xfId="0" applyNumberFormat="1" applyFont="1" applyBorder="1" applyAlignment="1">
      <alignment/>
    </xf>
    <xf numFmtId="0" fontId="113" fillId="0" borderId="27" xfId="0" applyFont="1" applyBorder="1" applyAlignment="1" quotePrefix="1">
      <alignment horizontal="center" vertical="center"/>
    </xf>
    <xf numFmtId="171" fontId="128" fillId="0" borderId="27" xfId="0" applyNumberFormat="1" applyFont="1" applyBorder="1" applyAlignment="1">
      <alignment/>
    </xf>
    <xf numFmtId="193" fontId="0" fillId="35" borderId="0" xfId="0" applyNumberFormat="1" applyFill="1" applyAlignment="1">
      <alignment/>
    </xf>
    <xf numFmtId="167" fontId="5" fillId="35" borderId="27" xfId="42" applyNumberFormat="1" applyFont="1" applyFill="1" applyBorder="1">
      <alignment/>
    </xf>
    <xf numFmtId="0" fontId="26" fillId="35" borderId="0" xfId="0" applyFont="1" applyFill="1" applyAlignment="1">
      <alignment horizontal="center"/>
    </xf>
    <xf numFmtId="0" fontId="10" fillId="35" borderId="0" xfId="0" applyFont="1" applyFill="1" applyAlignment="1">
      <alignment/>
    </xf>
    <xf numFmtId="0" fontId="10" fillId="35" borderId="0" xfId="0" applyFont="1" applyFill="1" applyAlignment="1">
      <alignment horizontal="center"/>
    </xf>
    <xf numFmtId="0" fontId="2" fillId="35" borderId="0" xfId="0" applyFont="1" applyFill="1" applyAlignment="1">
      <alignment/>
    </xf>
    <xf numFmtId="0" fontId="24" fillId="35" borderId="0" xfId="0" applyFont="1" applyFill="1" applyAlignment="1">
      <alignment/>
    </xf>
    <xf numFmtId="0" fontId="28" fillId="35" borderId="28" xfId="0" applyFont="1" applyFill="1" applyBorder="1" applyAlignment="1">
      <alignment horizontal="center"/>
    </xf>
    <xf numFmtId="0" fontId="10" fillId="35" borderId="21" xfId="0" applyFont="1" applyFill="1" applyBorder="1" applyAlignment="1">
      <alignment horizontal="center" vertical="center"/>
    </xf>
    <xf numFmtId="0" fontId="10" fillId="35" borderId="21" xfId="0" applyFont="1" applyFill="1" applyBorder="1" applyAlignment="1">
      <alignment horizontal="right" vertical="center"/>
    </xf>
    <xf numFmtId="0" fontId="1" fillId="35" borderId="0" xfId="0" applyFont="1" applyFill="1" applyAlignment="1">
      <alignment horizontal="center" vertical="center"/>
    </xf>
    <xf numFmtId="0" fontId="10" fillId="35" borderId="22" xfId="0" applyFont="1" applyFill="1" applyBorder="1" applyAlignment="1">
      <alignment horizontal="center" vertical="center"/>
    </xf>
    <xf numFmtId="0" fontId="10" fillId="35" borderId="22" xfId="0" applyFont="1" applyFill="1" applyBorder="1" applyAlignment="1">
      <alignment vertical="center"/>
    </xf>
    <xf numFmtId="0" fontId="24" fillId="35" borderId="27" xfId="0" applyFont="1" applyFill="1" applyBorder="1" applyAlignment="1">
      <alignment horizontal="center"/>
    </xf>
    <xf numFmtId="0" fontId="3" fillId="35" borderId="0" xfId="0" applyFont="1" applyFill="1" applyAlignment="1">
      <alignment horizontal="center"/>
    </xf>
    <xf numFmtId="0" fontId="24" fillId="35" borderId="27" xfId="0" applyFont="1" applyFill="1" applyBorder="1" applyAlignment="1">
      <alignment/>
    </xf>
    <xf numFmtId="0" fontId="28" fillId="35" borderId="27" xfId="0" applyFont="1" applyFill="1" applyBorder="1" applyAlignment="1">
      <alignment/>
    </xf>
    <xf numFmtId="166" fontId="0" fillId="35" borderId="27" xfId="42" applyFill="1" applyBorder="1">
      <alignment/>
    </xf>
    <xf numFmtId="0" fontId="5" fillId="35" borderId="27" xfId="0" applyFont="1" applyFill="1" applyBorder="1" applyAlignment="1">
      <alignment horizontal="right"/>
    </xf>
    <xf numFmtId="0" fontId="25" fillId="35" borderId="27" xfId="0" applyFont="1" applyFill="1" applyBorder="1" applyAlignment="1">
      <alignment horizontal="right"/>
    </xf>
    <xf numFmtId="166" fontId="5" fillId="35" borderId="27" xfId="42" applyFont="1" applyFill="1" applyBorder="1">
      <alignment/>
    </xf>
    <xf numFmtId="166" fontId="5" fillId="35" borderId="27" xfId="42" applyNumberFormat="1" applyFont="1" applyFill="1" applyBorder="1">
      <alignment/>
    </xf>
    <xf numFmtId="167" fontId="5" fillId="35" borderId="27" xfId="42" applyNumberFormat="1" applyFont="1" applyFill="1" applyBorder="1" applyAlignment="1">
      <alignment horizontal="right"/>
    </xf>
    <xf numFmtId="166" fontId="5" fillId="35" borderId="27" xfId="42" applyNumberFormat="1" applyFont="1" applyFill="1" applyBorder="1" applyAlignment="1">
      <alignment horizontal="right"/>
    </xf>
    <xf numFmtId="166" fontId="5" fillId="35" borderId="27" xfId="42" applyFont="1" applyFill="1" applyBorder="1" applyAlignment="1">
      <alignment horizontal="right"/>
    </xf>
    <xf numFmtId="177" fontId="5" fillId="35" borderId="27" xfId="42" applyNumberFormat="1" applyFont="1" applyFill="1" applyBorder="1">
      <alignment/>
    </xf>
    <xf numFmtId="0" fontId="5" fillId="35" borderId="0" xfId="0" applyFont="1" applyFill="1" applyAlignment="1">
      <alignment horizontal="left"/>
    </xf>
    <xf numFmtId="0" fontId="122" fillId="35" borderId="27" xfId="83" applyFont="1" applyFill="1" applyBorder="1" applyAlignment="1">
      <alignment horizontal="center" vertical="center"/>
      <protection/>
    </xf>
    <xf numFmtId="0" fontId="16" fillId="35" borderId="27" xfId="83" applyFont="1" applyFill="1" applyBorder="1" applyAlignment="1">
      <alignment horizontal="justify" vertical="center"/>
      <protection/>
    </xf>
    <xf numFmtId="0" fontId="123" fillId="35" borderId="27" xfId="83" applyFont="1" applyFill="1" applyBorder="1" applyAlignment="1">
      <alignment horizontal="center" vertical="center"/>
      <protection/>
    </xf>
    <xf numFmtId="0" fontId="32" fillId="35" borderId="27" xfId="83" applyFont="1" applyFill="1" applyBorder="1" applyAlignment="1">
      <alignment horizontal="justify" vertical="center"/>
      <protection/>
    </xf>
    <xf numFmtId="0" fontId="16" fillId="35" borderId="27" xfId="67" applyFont="1" applyFill="1" applyBorder="1" applyAlignment="1">
      <alignment horizontal="justify" vertical="center"/>
      <protection/>
    </xf>
    <xf numFmtId="0" fontId="32" fillId="35" borderId="27" xfId="67" applyFont="1" applyFill="1" applyBorder="1" applyAlignment="1">
      <alignment horizontal="justify" vertical="center"/>
      <protection/>
    </xf>
    <xf numFmtId="0" fontId="122" fillId="35" borderId="27" xfId="67" applyFont="1" applyFill="1" applyBorder="1" applyAlignment="1">
      <alignment horizontal="center" vertical="center"/>
      <protection/>
    </xf>
    <xf numFmtId="0" fontId="123" fillId="35" borderId="27" xfId="67" applyFont="1" applyFill="1" applyBorder="1" applyAlignment="1">
      <alignment horizontal="center" vertical="center"/>
      <protection/>
    </xf>
    <xf numFmtId="0" fontId="36" fillId="35" borderId="27" xfId="67" applyFont="1" applyFill="1" applyBorder="1" applyAlignment="1">
      <alignment horizontal="justify" vertical="center"/>
      <protection/>
    </xf>
    <xf numFmtId="0" fontId="31" fillId="35" borderId="27" xfId="67" applyFont="1" applyFill="1" applyBorder="1" applyAlignment="1">
      <alignment horizontal="justify" vertical="center"/>
      <protection/>
    </xf>
    <xf numFmtId="0" fontId="123" fillId="35" borderId="27" xfId="67" applyFont="1" applyFill="1" applyBorder="1" applyAlignment="1">
      <alignment horizontal="center"/>
      <protection/>
    </xf>
    <xf numFmtId="0" fontId="34" fillId="35" borderId="27" xfId="0" applyFont="1" applyFill="1" applyBorder="1" applyAlignment="1">
      <alignment horizontal="center" vertical="center" wrapText="1"/>
    </xf>
    <xf numFmtId="0" fontId="34" fillId="35" borderId="27" xfId="0" applyFont="1" applyFill="1" applyBorder="1" applyAlignment="1">
      <alignment vertical="center" wrapText="1"/>
    </xf>
    <xf numFmtId="171" fontId="5" fillId="35" borderId="27" xfId="0" applyNumberFormat="1" applyFont="1" applyFill="1" applyBorder="1" applyAlignment="1">
      <alignment horizontal="right" vertical="center" wrapText="1"/>
    </xf>
    <xf numFmtId="171" fontId="5" fillId="35" borderId="27" xfId="42" applyNumberFormat="1" applyFont="1" applyFill="1" applyBorder="1" applyAlignment="1">
      <alignment horizontal="right" vertical="center" wrapText="1"/>
    </xf>
    <xf numFmtId="171" fontId="5" fillId="35" borderId="27" xfId="42" applyNumberFormat="1" applyFont="1" applyFill="1" applyBorder="1" applyAlignment="1">
      <alignment horizontal="right" vertical="center"/>
    </xf>
    <xf numFmtId="171" fontId="25" fillId="35" borderId="27" xfId="0" applyNumberFormat="1" applyFont="1" applyFill="1" applyBorder="1" applyAlignment="1">
      <alignment horizontal="right" vertical="center"/>
    </xf>
    <xf numFmtId="171" fontId="105" fillId="35" borderId="27" xfId="0" applyNumberFormat="1" applyFont="1" applyFill="1" applyBorder="1" applyAlignment="1">
      <alignment horizontal="right" vertical="center"/>
    </xf>
    <xf numFmtId="171" fontId="22" fillId="35" borderId="27" xfId="0" applyNumberFormat="1" applyFont="1" applyFill="1" applyBorder="1" applyAlignment="1">
      <alignment horizontal="right" vertical="center"/>
    </xf>
    <xf numFmtId="171" fontId="25" fillId="35" borderId="27" xfId="42" applyNumberFormat="1" applyFont="1" applyFill="1" applyBorder="1" applyAlignment="1">
      <alignment horizontal="right" vertical="center"/>
    </xf>
    <xf numFmtId="167" fontId="3" fillId="35" borderId="27" xfId="42" applyNumberFormat="1" applyFont="1" applyFill="1" applyBorder="1">
      <alignment/>
    </xf>
    <xf numFmtId="167" fontId="3" fillId="0" borderId="27" xfId="42" applyNumberFormat="1" applyFont="1" applyBorder="1">
      <alignment/>
    </xf>
    <xf numFmtId="0" fontId="3" fillId="35" borderId="27" xfId="0" applyFont="1" applyFill="1" applyBorder="1" applyAlignment="1">
      <alignment horizontal="center" vertical="center" wrapText="1"/>
    </xf>
    <xf numFmtId="0" fontId="3" fillId="35" borderId="27" xfId="0" applyFont="1" applyFill="1" applyBorder="1" applyAlignment="1">
      <alignment vertical="center"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5 2" xfId="50"/>
    <cellStyle name="Comma 7" xfId="51"/>
    <cellStyle name="Comma 7 3" xfId="52"/>
    <cellStyle name="Comma 8" xfId="53"/>
    <cellStyle name="Comma 9" xfId="54"/>
    <cellStyle name="Currency" xfId="55"/>
    <cellStyle name="Currency [0]" xfId="56"/>
    <cellStyle name="Excel Built-in Normal"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10" xfId="67"/>
    <cellStyle name="Normal 10 2" xfId="68"/>
    <cellStyle name="Normal 10 3" xfId="69"/>
    <cellStyle name="Normal 11" xfId="70"/>
    <cellStyle name="Normal 19" xfId="71"/>
    <cellStyle name="Normal 2" xfId="72"/>
    <cellStyle name="Normal 2 2" xfId="73"/>
    <cellStyle name="Normal 2 2 2" xfId="74"/>
    <cellStyle name="Normal 2 3" xfId="75"/>
    <cellStyle name="Normal 2 4" xfId="76"/>
    <cellStyle name="Normal 2 5" xfId="77"/>
    <cellStyle name="Normal 2_PHU LỤC HUONG DAN THUC HIEN 2015 (24-12)" xfId="78"/>
    <cellStyle name="Normal 3" xfId="79"/>
    <cellStyle name="Normal 3 2" xfId="80"/>
    <cellStyle name="Normal 4" xfId="81"/>
    <cellStyle name="Normal 4 2" xfId="82"/>
    <cellStyle name="Normal 5" xfId="83"/>
    <cellStyle name="Note" xfId="84"/>
    <cellStyle name="Output" xfId="85"/>
    <cellStyle name="Percent"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5B9BD5"/>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2060"/>
      <rgbColor rgb="00339966"/>
      <rgbColor rgb="00003300"/>
      <rgbColor rgb="00333300"/>
      <rgbColor rgb="00993300"/>
      <rgbColor rgb="00993366"/>
      <rgbColor rgb="0000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19050</xdr:rowOff>
    </xdr:from>
    <xdr:to>
      <xdr:col>1</xdr:col>
      <xdr:colOff>1457325</xdr:colOff>
      <xdr:row>7</xdr:row>
      <xdr:rowOff>400050</xdr:rowOff>
    </xdr:to>
    <xdr:sp>
      <xdr:nvSpPr>
        <xdr:cNvPr id="1" name="Straight Connector 2"/>
        <xdr:cNvSpPr>
          <a:spLocks/>
        </xdr:cNvSpPr>
      </xdr:nvSpPr>
      <xdr:spPr>
        <a:xfrm>
          <a:off x="342900" y="1257300"/>
          <a:ext cx="1438275"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19050</xdr:rowOff>
    </xdr:from>
    <xdr:to>
      <xdr:col>1</xdr:col>
      <xdr:colOff>1457325</xdr:colOff>
      <xdr:row>7</xdr:row>
      <xdr:rowOff>400050</xdr:rowOff>
    </xdr:to>
    <xdr:sp>
      <xdr:nvSpPr>
        <xdr:cNvPr id="1" name="Straight Connector 1"/>
        <xdr:cNvSpPr>
          <a:spLocks/>
        </xdr:cNvSpPr>
      </xdr:nvSpPr>
      <xdr:spPr>
        <a:xfrm>
          <a:off x="342900" y="1333500"/>
          <a:ext cx="1438275"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nh%20BTXH\ManhBTXH\NGHEO\N&#259;m%202023\BC%20GI&#7842;M%20NGH&#200;O%20N&#258;M%202023\8a.-Bieu-5-6-7-CH&#431;&#416;NG%20TR&#204;NH%20GI&#7842;M%20NGH&#200;O%20HUY&#7878;N%20TU&#7846;N%20GI&#193;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hu luc 5-Phan bo von"/>
      <sheetName val="Phu luc 6-Giải ngân vốn"/>
      <sheetName val="Phu luc 7 - TH ket qua huy dong"/>
    </sheetNames>
    <sheetDataSet>
      <sheetData sheetId="0">
        <row r="8">
          <cell r="M8">
            <v>57.689</v>
          </cell>
        </row>
        <row r="9">
          <cell r="M9">
            <v>57.689</v>
          </cell>
          <cell r="O9">
            <v>1.972</v>
          </cell>
        </row>
        <row r="10">
          <cell r="O10">
            <v>1.972</v>
          </cell>
        </row>
        <row r="11">
          <cell r="O11">
            <v>1</v>
          </cell>
        </row>
        <row r="12">
          <cell r="O12">
            <v>0.972</v>
          </cell>
        </row>
        <row r="13">
          <cell r="M13">
            <v>57.689</v>
          </cell>
        </row>
        <row r="14">
          <cell r="M14">
            <v>38.689</v>
          </cell>
        </row>
        <row r="15">
          <cell r="M15">
            <v>10</v>
          </cell>
        </row>
        <row r="16">
          <cell r="M16">
            <v>9</v>
          </cell>
        </row>
        <row r="22">
          <cell r="O22">
            <v>2.991</v>
          </cell>
        </row>
        <row r="23">
          <cell r="O23">
            <v>2.285</v>
          </cell>
        </row>
        <row r="27">
          <cell r="O27">
            <v>0.446</v>
          </cell>
        </row>
        <row r="29">
          <cell r="O29">
            <v>0.076</v>
          </cell>
        </row>
        <row r="30">
          <cell r="O30">
            <v>0.9870000000000001</v>
          </cell>
        </row>
        <row r="31">
          <cell r="O31">
            <v>0.645</v>
          </cell>
        </row>
        <row r="32">
          <cell r="O32">
            <v>0.342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I23"/>
  <sheetViews>
    <sheetView view="pageBreakPreview" zoomScale="70" zoomScaleNormal="70" zoomScaleSheetLayoutView="70" zoomScalePageLayoutView="0" workbookViewId="0" topLeftCell="A1">
      <selection activeCell="I10" sqref="I10"/>
    </sheetView>
  </sheetViews>
  <sheetFormatPr defaultColWidth="9.140625" defaultRowHeight="12.75"/>
  <cols>
    <col min="1" max="1" width="9.00390625" style="476" customWidth="1"/>
    <col min="2" max="2" width="13.7109375" style="484" customWidth="1"/>
    <col min="3" max="3" width="21.7109375" style="484" customWidth="1"/>
    <col min="4" max="4" width="21.00390625" style="484" customWidth="1"/>
    <col min="5" max="5" width="42.421875" style="476" customWidth="1"/>
    <col min="6" max="6" width="24.57421875" style="476" hidden="1" customWidth="1"/>
    <col min="7" max="7" width="58.421875" style="476" customWidth="1"/>
    <col min="8" max="8" width="11.28125" style="476" customWidth="1"/>
    <col min="9" max="9" width="44.7109375" style="476" customWidth="1"/>
    <col min="10" max="16384" width="9.140625" style="476" customWidth="1"/>
  </cols>
  <sheetData>
    <row r="1" spans="1:7" ht="23.25" customHeight="1">
      <c r="A1" s="587" t="s">
        <v>304</v>
      </c>
      <c r="B1" s="587"/>
      <c r="C1" s="587"/>
      <c r="D1" s="587"/>
      <c r="E1" s="587"/>
      <c r="F1" s="587"/>
      <c r="G1" s="587"/>
    </row>
    <row r="2" spans="1:7" ht="18.75" customHeight="1">
      <c r="A2" s="587" t="s">
        <v>305</v>
      </c>
      <c r="B2" s="587"/>
      <c r="C2" s="587"/>
      <c r="D2" s="587"/>
      <c r="E2" s="587"/>
      <c r="F2" s="587"/>
      <c r="G2" s="587"/>
    </row>
    <row r="3" spans="1:7" ht="22.5" customHeight="1">
      <c r="A3" s="587" t="s">
        <v>306</v>
      </c>
      <c r="B3" s="587"/>
      <c r="C3" s="587"/>
      <c r="D3" s="587"/>
      <c r="E3" s="587"/>
      <c r="F3" s="587"/>
      <c r="G3" s="587"/>
    </row>
    <row r="4" spans="1:7" ht="11.25" customHeight="1">
      <c r="A4" s="587"/>
      <c r="B4" s="587"/>
      <c r="C4" s="587"/>
      <c r="D4" s="587"/>
      <c r="E4" s="587"/>
      <c r="F4" s="587"/>
      <c r="G4" s="587"/>
    </row>
    <row r="5" spans="1:7" ht="47.25" customHeight="1">
      <c r="A5" s="477" t="s">
        <v>150</v>
      </c>
      <c r="B5" s="478" t="s">
        <v>242</v>
      </c>
      <c r="C5" s="478" t="s">
        <v>243</v>
      </c>
      <c r="D5" s="478" t="s">
        <v>244</v>
      </c>
      <c r="E5" s="478" t="s">
        <v>245</v>
      </c>
      <c r="F5" s="478" t="s">
        <v>246</v>
      </c>
      <c r="G5" s="478" t="s">
        <v>247</v>
      </c>
    </row>
    <row r="6" spans="1:7" s="479" customFormat="1" ht="27.75" customHeight="1">
      <c r="A6" s="584" t="s">
        <v>307</v>
      </c>
      <c r="B6" s="585"/>
      <c r="C6" s="585"/>
      <c r="D6" s="585"/>
      <c r="E6" s="585"/>
      <c r="F6" s="585"/>
      <c r="G6" s="586"/>
    </row>
    <row r="7" spans="1:7" s="481" customFormat="1" ht="63">
      <c r="A7" s="480">
        <v>1</v>
      </c>
      <c r="B7" s="480" t="s">
        <v>248</v>
      </c>
      <c r="C7" s="480" t="s">
        <v>249</v>
      </c>
      <c r="D7" s="480" t="s">
        <v>250</v>
      </c>
      <c r="E7" s="480" t="s">
        <v>251</v>
      </c>
      <c r="F7" s="480"/>
      <c r="G7" s="480" t="s">
        <v>252</v>
      </c>
    </row>
    <row r="8" spans="1:7" s="481" customFormat="1" ht="78.75">
      <c r="A8" s="480">
        <v>2</v>
      </c>
      <c r="B8" s="480" t="s">
        <v>253</v>
      </c>
      <c r="C8" s="480" t="s">
        <v>249</v>
      </c>
      <c r="D8" s="480" t="s">
        <v>254</v>
      </c>
      <c r="E8" s="480" t="s">
        <v>255</v>
      </c>
      <c r="F8" s="480"/>
      <c r="G8" s="480" t="s">
        <v>252</v>
      </c>
    </row>
    <row r="9" spans="1:7" s="483" customFormat="1" ht="63">
      <c r="A9" s="480">
        <v>3</v>
      </c>
      <c r="B9" s="480" t="s">
        <v>263</v>
      </c>
      <c r="C9" s="480" t="s">
        <v>264</v>
      </c>
      <c r="D9" s="480" t="s">
        <v>265</v>
      </c>
      <c r="E9" s="480" t="s">
        <v>266</v>
      </c>
      <c r="F9" s="480"/>
      <c r="G9" s="480" t="s">
        <v>267</v>
      </c>
    </row>
    <row r="10" spans="1:7" s="483" customFormat="1" ht="47.25">
      <c r="A10" s="480">
        <v>4</v>
      </c>
      <c r="B10" s="480" t="s">
        <v>263</v>
      </c>
      <c r="C10" s="480" t="s">
        <v>264</v>
      </c>
      <c r="D10" s="480" t="s">
        <v>268</v>
      </c>
      <c r="E10" s="480" t="s">
        <v>269</v>
      </c>
      <c r="F10" s="480"/>
      <c r="G10" s="480" t="s">
        <v>270</v>
      </c>
    </row>
    <row r="11" spans="1:7" s="483" customFormat="1" ht="63">
      <c r="A11" s="480">
        <v>5</v>
      </c>
      <c r="B11" s="480" t="s">
        <v>263</v>
      </c>
      <c r="C11" s="480" t="s">
        <v>264</v>
      </c>
      <c r="D11" s="480" t="s">
        <v>271</v>
      </c>
      <c r="E11" s="480" t="s">
        <v>272</v>
      </c>
      <c r="F11" s="480"/>
      <c r="G11" s="480" t="s">
        <v>273</v>
      </c>
    </row>
    <row r="12" spans="1:7" s="483" customFormat="1" ht="47.25">
      <c r="A12" s="480">
        <v>6</v>
      </c>
      <c r="B12" s="480" t="s">
        <v>278</v>
      </c>
      <c r="C12" s="480" t="s">
        <v>264</v>
      </c>
      <c r="D12" s="480" t="s">
        <v>279</v>
      </c>
      <c r="E12" s="480" t="s">
        <v>280</v>
      </c>
      <c r="F12" s="480"/>
      <c r="G12" s="480" t="s">
        <v>281</v>
      </c>
    </row>
    <row r="13" spans="1:7" s="483" customFormat="1" ht="47.25">
      <c r="A13" s="480">
        <v>7</v>
      </c>
      <c r="B13" s="480" t="s">
        <v>278</v>
      </c>
      <c r="C13" s="480" t="s">
        <v>264</v>
      </c>
      <c r="D13" s="480" t="s">
        <v>282</v>
      </c>
      <c r="E13" s="480" t="s">
        <v>283</v>
      </c>
      <c r="F13" s="480"/>
      <c r="G13" s="480" t="s">
        <v>281</v>
      </c>
    </row>
    <row r="14" spans="1:7" s="483" customFormat="1" ht="110.25">
      <c r="A14" s="480">
        <v>8</v>
      </c>
      <c r="B14" s="480" t="s">
        <v>284</v>
      </c>
      <c r="C14" s="480" t="s">
        <v>264</v>
      </c>
      <c r="D14" s="480" t="s">
        <v>285</v>
      </c>
      <c r="E14" s="480" t="s">
        <v>286</v>
      </c>
      <c r="F14" s="480"/>
      <c r="G14" s="480" t="s">
        <v>287</v>
      </c>
    </row>
    <row r="15" spans="1:7" ht="87.75" customHeight="1">
      <c r="A15" s="480">
        <v>9</v>
      </c>
      <c r="B15" s="480" t="s">
        <v>274</v>
      </c>
      <c r="C15" s="480" t="s">
        <v>264</v>
      </c>
      <c r="D15" s="480" t="s">
        <v>301</v>
      </c>
      <c r="E15" s="480" t="s">
        <v>302</v>
      </c>
      <c r="F15" s="480"/>
      <c r="G15" s="480" t="s">
        <v>303</v>
      </c>
    </row>
    <row r="16" spans="1:7" s="483" customFormat="1" ht="119.25" customHeight="1">
      <c r="A16" s="480">
        <v>10</v>
      </c>
      <c r="B16" s="480" t="s">
        <v>278</v>
      </c>
      <c r="C16" s="480" t="s">
        <v>264</v>
      </c>
      <c r="D16" s="480" t="s">
        <v>292</v>
      </c>
      <c r="E16" s="480" t="s">
        <v>293</v>
      </c>
      <c r="F16" s="480"/>
      <c r="G16" s="480" t="s">
        <v>294</v>
      </c>
    </row>
    <row r="17" spans="1:9" s="479" customFormat="1" ht="27.75" customHeight="1">
      <c r="A17" s="584" t="s">
        <v>308</v>
      </c>
      <c r="B17" s="585"/>
      <c r="C17" s="585"/>
      <c r="D17" s="585"/>
      <c r="E17" s="585"/>
      <c r="F17" s="585"/>
      <c r="G17" s="586"/>
      <c r="I17" s="482"/>
    </row>
    <row r="18" spans="1:7" s="481" customFormat="1" ht="63">
      <c r="A18" s="480">
        <v>1</v>
      </c>
      <c r="B18" s="480" t="s">
        <v>256</v>
      </c>
      <c r="C18" s="480" t="s">
        <v>249</v>
      </c>
      <c r="D18" s="480" t="s">
        <v>257</v>
      </c>
      <c r="E18" s="480" t="s">
        <v>258</v>
      </c>
      <c r="F18" s="480"/>
      <c r="G18" s="480" t="s">
        <v>259</v>
      </c>
    </row>
    <row r="19" spans="1:7" s="481" customFormat="1" ht="110.25">
      <c r="A19" s="480">
        <v>2</v>
      </c>
      <c r="B19" s="480" t="s">
        <v>256</v>
      </c>
      <c r="C19" s="480" t="s">
        <v>249</v>
      </c>
      <c r="D19" s="480" t="s">
        <v>260</v>
      </c>
      <c r="E19" s="480" t="s">
        <v>261</v>
      </c>
      <c r="F19" s="480"/>
      <c r="G19" s="480" t="s">
        <v>262</v>
      </c>
    </row>
    <row r="20" spans="1:7" s="483" customFormat="1" ht="63">
      <c r="A20" s="480">
        <v>3</v>
      </c>
      <c r="B20" s="480" t="s">
        <v>274</v>
      </c>
      <c r="C20" s="480" t="s">
        <v>264</v>
      </c>
      <c r="D20" s="480" t="s">
        <v>275</v>
      </c>
      <c r="E20" s="480" t="s">
        <v>276</v>
      </c>
      <c r="F20" s="480"/>
      <c r="G20" s="480" t="s">
        <v>277</v>
      </c>
    </row>
    <row r="21" spans="1:7" s="483" customFormat="1" ht="63">
      <c r="A21" s="480">
        <v>4</v>
      </c>
      <c r="B21" s="480" t="s">
        <v>288</v>
      </c>
      <c r="C21" s="480" t="s">
        <v>264</v>
      </c>
      <c r="D21" s="480" t="s">
        <v>289</v>
      </c>
      <c r="E21" s="480" t="s">
        <v>290</v>
      </c>
      <c r="F21" s="480"/>
      <c r="G21" s="480" t="s">
        <v>291</v>
      </c>
    </row>
    <row r="22" spans="1:7" ht="63">
      <c r="A22" s="480">
        <v>5</v>
      </c>
      <c r="B22" s="480" t="s">
        <v>256</v>
      </c>
      <c r="C22" s="480" t="s">
        <v>264</v>
      </c>
      <c r="D22" s="480" t="s">
        <v>295</v>
      </c>
      <c r="E22" s="480" t="s">
        <v>296</v>
      </c>
      <c r="F22" s="480"/>
      <c r="G22" s="480" t="s">
        <v>297</v>
      </c>
    </row>
    <row r="23" spans="1:7" ht="94.5">
      <c r="A23" s="480">
        <v>6</v>
      </c>
      <c r="B23" s="480" t="s">
        <v>278</v>
      </c>
      <c r="C23" s="480" t="s">
        <v>264</v>
      </c>
      <c r="D23" s="480" t="s">
        <v>298</v>
      </c>
      <c r="E23" s="480" t="s">
        <v>299</v>
      </c>
      <c r="F23" s="480"/>
      <c r="G23" s="480" t="s">
        <v>300</v>
      </c>
    </row>
  </sheetData>
  <sheetProtection/>
  <mergeCells count="6">
    <mergeCell ref="A17:G17"/>
    <mergeCell ref="A1:G1"/>
    <mergeCell ref="A2:G2"/>
    <mergeCell ref="A3:G3"/>
    <mergeCell ref="A4:G4"/>
    <mergeCell ref="A6:G6"/>
  </mergeCells>
  <printOptions/>
  <pageMargins left="0.45" right="0.45" top="0.75" bottom="0.25" header="0.3" footer="0.3"/>
  <pageSetup fitToHeight="0" fitToWidth="1" orientation="landscape" paperSize="9" scale="84" r:id="rId1"/>
</worksheet>
</file>

<file path=xl/worksheets/sheet10.xml><?xml version="1.0" encoding="utf-8"?>
<worksheet xmlns="http://schemas.openxmlformats.org/spreadsheetml/2006/main" xmlns:r="http://schemas.openxmlformats.org/officeDocument/2006/relationships">
  <sheetPr>
    <tabColor rgb="FF7030A0"/>
  </sheetPr>
  <dimension ref="A1:BP30"/>
  <sheetViews>
    <sheetView zoomScalePageLayoutView="0" workbookViewId="0" topLeftCell="A1">
      <selection activeCell="G15" sqref="G15"/>
    </sheetView>
  </sheetViews>
  <sheetFormatPr defaultColWidth="9.00390625" defaultRowHeight="12.75"/>
  <cols>
    <col min="1" max="1" width="6.421875" style="330" customWidth="1"/>
    <col min="2" max="2" width="19.140625" style="331" customWidth="1"/>
    <col min="3" max="3" width="10.421875" style="330" customWidth="1"/>
    <col min="4" max="4" width="8.7109375" style="330" customWidth="1"/>
    <col min="5" max="5" width="8.57421875" style="330" customWidth="1"/>
    <col min="6" max="6" width="11.8515625" style="330" customWidth="1"/>
    <col min="7" max="7" width="11.28125" style="330" customWidth="1"/>
    <col min="8" max="8" width="11.140625" style="330" customWidth="1"/>
    <col min="9" max="9" width="12.28125" style="332" customWidth="1"/>
    <col min="10" max="68" width="9.00390625" style="332" customWidth="1"/>
    <col min="69" max="16384" width="9.00390625" style="330" customWidth="1"/>
  </cols>
  <sheetData>
    <row r="1" ht="16.5">
      <c r="I1" s="332" t="s">
        <v>146</v>
      </c>
    </row>
    <row r="2" spans="1:68" s="334" customFormat="1" ht="32.25" customHeight="1">
      <c r="A2" s="656" t="s">
        <v>147</v>
      </c>
      <c r="B2" s="656"/>
      <c r="C2" s="656"/>
      <c r="D2" s="656"/>
      <c r="E2" s="656"/>
      <c r="F2" s="656"/>
      <c r="G2" s="656"/>
      <c r="H2" s="656"/>
      <c r="I2" s="656"/>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row>
    <row r="3" spans="1:68" s="334" customFormat="1" ht="21" customHeight="1">
      <c r="A3" s="656" t="s">
        <v>124</v>
      </c>
      <c r="B3" s="656"/>
      <c r="C3" s="656"/>
      <c r="D3" s="656"/>
      <c r="E3" s="656"/>
      <c r="F3" s="656"/>
      <c r="G3" s="656"/>
      <c r="H3" s="656"/>
      <c r="I3" s="656"/>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row>
    <row r="4" spans="1:68" s="334" customFormat="1" ht="30.75" customHeight="1">
      <c r="A4" s="657" t="s">
        <v>132</v>
      </c>
      <c r="B4" s="657"/>
      <c r="C4" s="657"/>
      <c r="D4" s="657"/>
      <c r="E4" s="657"/>
      <c r="F4" s="657"/>
      <c r="G4" s="657"/>
      <c r="H4" s="657"/>
      <c r="I4" s="657"/>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row>
    <row r="6" spans="1:68" s="283" customFormat="1" ht="19.5" customHeight="1">
      <c r="A6" s="632" t="s">
        <v>47</v>
      </c>
      <c r="B6" s="632" t="s">
        <v>114</v>
      </c>
      <c r="C6" s="632" t="s">
        <v>115</v>
      </c>
      <c r="D6" s="632"/>
      <c r="E6" s="632"/>
      <c r="F6" s="632"/>
      <c r="G6" s="652" t="s">
        <v>129</v>
      </c>
      <c r="H6" s="655" t="s">
        <v>130</v>
      </c>
      <c r="I6" s="655" t="s">
        <v>131</v>
      </c>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c r="BP6" s="335"/>
    </row>
    <row r="7" spans="1:68" s="283" customFormat="1" ht="51.75" customHeight="1">
      <c r="A7" s="632"/>
      <c r="B7" s="632"/>
      <c r="C7" s="632" t="s">
        <v>125</v>
      </c>
      <c r="D7" s="632"/>
      <c r="E7" s="632" t="s">
        <v>128</v>
      </c>
      <c r="F7" s="632"/>
      <c r="G7" s="653"/>
      <c r="H7" s="653"/>
      <c r="I7" s="653"/>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row>
    <row r="8" spans="1:68" s="283" customFormat="1" ht="33" customHeight="1">
      <c r="A8" s="632"/>
      <c r="B8" s="632"/>
      <c r="C8" s="652" t="s">
        <v>126</v>
      </c>
      <c r="D8" s="652" t="s">
        <v>127</v>
      </c>
      <c r="E8" s="652" t="s">
        <v>126</v>
      </c>
      <c r="F8" s="652" t="s">
        <v>127</v>
      </c>
      <c r="G8" s="653"/>
      <c r="H8" s="653"/>
      <c r="I8" s="653"/>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row>
    <row r="9" spans="1:68" s="283" customFormat="1" ht="25.5" customHeight="1">
      <c r="A9" s="632"/>
      <c r="B9" s="632"/>
      <c r="C9" s="654"/>
      <c r="D9" s="654"/>
      <c r="E9" s="654"/>
      <c r="F9" s="654"/>
      <c r="G9" s="654"/>
      <c r="H9" s="654"/>
      <c r="I9" s="654"/>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35"/>
      <c r="BL9" s="335"/>
      <c r="BM9" s="335"/>
      <c r="BN9" s="335"/>
      <c r="BO9" s="335"/>
      <c r="BP9" s="335"/>
    </row>
    <row r="10" spans="1:68" s="338" customFormat="1" ht="26.25" customHeight="1">
      <c r="A10" s="336" t="s">
        <v>21</v>
      </c>
      <c r="B10" s="336" t="s">
        <v>22</v>
      </c>
      <c r="C10" s="336">
        <v>1</v>
      </c>
      <c r="D10" s="336">
        <v>2</v>
      </c>
      <c r="E10" s="336">
        <v>3</v>
      </c>
      <c r="F10" s="336">
        <v>4</v>
      </c>
      <c r="G10" s="336">
        <v>5</v>
      </c>
      <c r="H10" s="336">
        <v>6</v>
      </c>
      <c r="I10" s="336">
        <v>7</v>
      </c>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row>
    <row r="11" spans="1:68" s="343" customFormat="1" ht="25.5" customHeight="1">
      <c r="A11" s="339">
        <v>1</v>
      </c>
      <c r="B11" s="340" t="s">
        <v>116</v>
      </c>
      <c r="C11" s="341">
        <v>425</v>
      </c>
      <c r="D11" s="341">
        <v>79</v>
      </c>
      <c r="E11" s="341">
        <f>C11/3</f>
        <v>141.66666666666666</v>
      </c>
      <c r="F11" s="341">
        <f>E11/3</f>
        <v>47.22222222222222</v>
      </c>
      <c r="G11" s="341">
        <f>E11+F11</f>
        <v>188.88888888888889</v>
      </c>
      <c r="H11" s="342">
        <v>24.84</v>
      </c>
      <c r="I11" s="341">
        <f>G11*H11</f>
        <v>4692</v>
      </c>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row>
    <row r="12" spans="1:68" s="343" customFormat="1" ht="25.5" customHeight="1">
      <c r="A12" s="339">
        <v>2</v>
      </c>
      <c r="B12" s="340" t="s">
        <v>117</v>
      </c>
      <c r="C12" s="341">
        <v>413</v>
      </c>
      <c r="D12" s="341">
        <v>99</v>
      </c>
      <c r="E12" s="341">
        <f aca="true" t="shared" si="0" ref="E12:E17">C12/3</f>
        <v>137.66666666666666</v>
      </c>
      <c r="F12" s="341">
        <f aca="true" t="shared" si="1" ref="F12:F17">E12/3</f>
        <v>45.888888888888886</v>
      </c>
      <c r="G12" s="341">
        <f aca="true" t="shared" si="2" ref="G12:G17">E12+F12</f>
        <v>183.55555555555554</v>
      </c>
      <c r="H12" s="342">
        <v>24.85</v>
      </c>
      <c r="I12" s="341">
        <f aca="true" t="shared" si="3" ref="I12:I17">G12*H12</f>
        <v>4561.355555555556</v>
      </c>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row>
    <row r="13" spans="1:68" s="343" customFormat="1" ht="25.5" customHeight="1">
      <c r="A13" s="339">
        <v>3</v>
      </c>
      <c r="B13" s="340" t="s">
        <v>118</v>
      </c>
      <c r="C13" s="341">
        <v>665</v>
      </c>
      <c r="D13" s="341">
        <v>243</v>
      </c>
      <c r="E13" s="341">
        <f t="shared" si="0"/>
        <v>221.66666666666666</v>
      </c>
      <c r="F13" s="341">
        <f t="shared" si="1"/>
        <v>73.88888888888889</v>
      </c>
      <c r="G13" s="341">
        <f t="shared" si="2"/>
        <v>295.55555555555554</v>
      </c>
      <c r="H13" s="342">
        <v>24.85</v>
      </c>
      <c r="I13" s="341">
        <f>G13*H13-5</f>
        <v>7339.555555555556</v>
      </c>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row>
    <row r="14" spans="1:68" s="343" customFormat="1" ht="25.5" customHeight="1">
      <c r="A14" s="339">
        <v>4</v>
      </c>
      <c r="B14" s="340" t="s">
        <v>119</v>
      </c>
      <c r="C14" s="341">
        <v>976</v>
      </c>
      <c r="D14" s="341">
        <v>0</v>
      </c>
      <c r="E14" s="341">
        <f t="shared" si="0"/>
        <v>325.3333333333333</v>
      </c>
      <c r="F14" s="341">
        <f t="shared" si="1"/>
        <v>108.44444444444444</v>
      </c>
      <c r="G14" s="341">
        <f t="shared" si="2"/>
        <v>433.77777777777777</v>
      </c>
      <c r="H14" s="342">
        <v>24.85</v>
      </c>
      <c r="I14" s="341">
        <f>G14*H14</f>
        <v>10779.377777777778</v>
      </c>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row>
    <row r="15" spans="1:68" s="343" customFormat="1" ht="25.5" customHeight="1">
      <c r="A15" s="339">
        <v>5</v>
      </c>
      <c r="B15" s="340" t="s">
        <v>120</v>
      </c>
      <c r="C15" s="341">
        <v>331</v>
      </c>
      <c r="D15" s="341">
        <v>29</v>
      </c>
      <c r="E15" s="341">
        <f t="shared" si="0"/>
        <v>110.33333333333333</v>
      </c>
      <c r="F15" s="341">
        <f t="shared" si="1"/>
        <v>36.77777777777778</v>
      </c>
      <c r="G15" s="341">
        <f t="shared" si="2"/>
        <v>147.11111111111111</v>
      </c>
      <c r="H15" s="342">
        <v>24.85</v>
      </c>
      <c r="I15" s="341">
        <f t="shared" si="3"/>
        <v>3655.711111111111</v>
      </c>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row>
    <row r="16" spans="1:68" s="343" customFormat="1" ht="25.5" customHeight="1">
      <c r="A16" s="339">
        <v>6</v>
      </c>
      <c r="B16" s="340" t="s">
        <v>121</v>
      </c>
      <c r="C16" s="341">
        <v>429</v>
      </c>
      <c r="D16" s="341">
        <v>116</v>
      </c>
      <c r="E16" s="341">
        <f t="shared" si="0"/>
        <v>143</v>
      </c>
      <c r="F16" s="341">
        <f t="shared" si="1"/>
        <v>47.666666666666664</v>
      </c>
      <c r="G16" s="341">
        <f t="shared" si="2"/>
        <v>190.66666666666666</v>
      </c>
      <c r="H16" s="342">
        <v>24.85</v>
      </c>
      <c r="I16" s="341">
        <f t="shared" si="3"/>
        <v>4738.066666666667</v>
      </c>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row>
    <row r="17" spans="1:68" s="344" customFormat="1" ht="25.5" customHeight="1">
      <c r="A17" s="339">
        <v>7</v>
      </c>
      <c r="B17" s="340" t="s">
        <v>122</v>
      </c>
      <c r="C17" s="341">
        <v>530</v>
      </c>
      <c r="D17" s="341">
        <v>347</v>
      </c>
      <c r="E17" s="341">
        <f t="shared" si="0"/>
        <v>176.66666666666666</v>
      </c>
      <c r="F17" s="341">
        <f t="shared" si="1"/>
        <v>58.888888888888886</v>
      </c>
      <c r="G17" s="341">
        <f t="shared" si="2"/>
        <v>235.55555555555554</v>
      </c>
      <c r="H17" s="342">
        <v>24.85</v>
      </c>
      <c r="I17" s="341">
        <f t="shared" si="3"/>
        <v>5853.555555555556</v>
      </c>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row>
    <row r="18" spans="1:9" s="348" customFormat="1" ht="25.5" customHeight="1">
      <c r="A18" s="345"/>
      <c r="B18" s="346" t="s">
        <v>123</v>
      </c>
      <c r="C18" s="347">
        <f>SUM(C11:C17)</f>
        <v>3769</v>
      </c>
      <c r="D18" s="347">
        <f>SUM(D11:D17)</f>
        <v>913</v>
      </c>
      <c r="E18" s="347">
        <f>SUM(E10:E17)</f>
        <v>1259.3333333333333</v>
      </c>
      <c r="F18" s="347">
        <f>SUM(F10:F17)</f>
        <v>422.7777777777778</v>
      </c>
      <c r="G18" s="347">
        <f>SUM(G11:G17)</f>
        <v>1675.1111111111113</v>
      </c>
      <c r="H18" s="347"/>
      <c r="I18" s="347">
        <f>SUM(I11:I17)</f>
        <v>41619.62222222223</v>
      </c>
    </row>
    <row r="19" spans="1:7" ht="16.5">
      <c r="A19" s="332"/>
      <c r="B19" s="349"/>
      <c r="C19" s="332"/>
      <c r="D19" s="332"/>
      <c r="E19" s="332"/>
      <c r="F19" s="332"/>
      <c r="G19" s="332"/>
    </row>
    <row r="20" spans="1:8" ht="16.5">
      <c r="A20" s="332"/>
      <c r="B20" s="349"/>
      <c r="C20" s="332"/>
      <c r="D20" s="332"/>
      <c r="E20" s="332"/>
      <c r="F20" s="332"/>
      <c r="G20" s="350">
        <v>41620</v>
      </c>
      <c r="H20" s="330">
        <f>G20/G18</f>
        <v>24.8461130273282</v>
      </c>
    </row>
    <row r="21" spans="1:6" ht="16.5">
      <c r="A21" s="332"/>
      <c r="B21" s="349"/>
      <c r="C21" s="332"/>
      <c r="D21" s="332"/>
      <c r="E21" s="332"/>
      <c r="F21" s="332"/>
    </row>
    <row r="22" spans="1:9" ht="38.25" customHeight="1">
      <c r="A22" s="651" t="s">
        <v>149</v>
      </c>
      <c r="B22" s="651"/>
      <c r="C22" s="651"/>
      <c r="D22" s="651"/>
      <c r="E22" s="651"/>
      <c r="F22" s="651"/>
      <c r="G22" s="651"/>
      <c r="H22" s="651"/>
      <c r="I22" s="651"/>
    </row>
    <row r="23" spans="1:7" ht="16.5">
      <c r="A23" s="332"/>
      <c r="B23" s="349"/>
      <c r="C23" s="332"/>
      <c r="D23" s="332"/>
      <c r="E23" s="332"/>
      <c r="F23" s="332"/>
      <c r="G23" s="332"/>
    </row>
    <row r="24" spans="1:7" ht="16.5">
      <c r="A24" s="332"/>
      <c r="B24" s="349"/>
      <c r="C24" s="332"/>
      <c r="D24" s="332"/>
      <c r="E24" s="332"/>
      <c r="F24" s="332"/>
      <c r="G24" s="332"/>
    </row>
    <row r="25" spans="1:7" ht="16.5">
      <c r="A25" s="332"/>
      <c r="B25" s="349"/>
      <c r="C25" s="332"/>
      <c r="D25" s="332"/>
      <c r="E25" s="332"/>
      <c r="F25" s="332"/>
      <c r="G25" s="332"/>
    </row>
    <row r="26" spans="1:8" ht="16.5">
      <c r="A26" s="332"/>
      <c r="B26" s="349"/>
      <c r="C26" s="332"/>
      <c r="D26" s="332"/>
      <c r="E26" s="332"/>
      <c r="F26" s="332"/>
      <c r="G26" s="332"/>
      <c r="H26" s="332"/>
    </row>
    <row r="27" spans="1:12" ht="16.5">
      <c r="A27" s="332"/>
      <c r="B27" s="349"/>
      <c r="C27" s="332"/>
      <c r="D27" s="332"/>
      <c r="E27" s="351"/>
      <c r="F27" s="351"/>
      <c r="G27" s="351"/>
      <c r="H27" s="351"/>
      <c r="I27" s="351"/>
      <c r="J27" s="351"/>
      <c r="K27" s="351"/>
      <c r="L27" s="351"/>
    </row>
    <row r="28" spans="1:7" ht="16.5">
      <c r="A28" s="332"/>
      <c r="B28" s="349"/>
      <c r="C28" s="332"/>
      <c r="D28" s="332"/>
      <c r="E28" s="332"/>
      <c r="F28" s="332"/>
      <c r="G28" s="332"/>
    </row>
    <row r="29" spans="1:7" ht="16.5">
      <c r="A29" s="332"/>
      <c r="B29" s="349"/>
      <c r="C29" s="332"/>
      <c r="D29" s="332"/>
      <c r="E29" s="332"/>
      <c r="F29" s="332"/>
      <c r="G29" s="332"/>
    </row>
    <row r="30" spans="1:7" ht="16.5">
      <c r="A30" s="332"/>
      <c r="B30" s="349"/>
      <c r="C30" s="332"/>
      <c r="D30" s="332"/>
      <c r="E30" s="332"/>
      <c r="F30" s="332"/>
      <c r="G30" s="332"/>
    </row>
  </sheetData>
  <sheetProtection/>
  <mergeCells count="16">
    <mergeCell ref="A2:I2"/>
    <mergeCell ref="A3:I3"/>
    <mergeCell ref="I6:I9"/>
    <mergeCell ref="C8:C9"/>
    <mergeCell ref="D8:D9"/>
    <mergeCell ref="E8:E9"/>
    <mergeCell ref="F8:F9"/>
    <mergeCell ref="A4:I4"/>
    <mergeCell ref="A6:A9"/>
    <mergeCell ref="B6:B9"/>
    <mergeCell ref="C6:F6"/>
    <mergeCell ref="A22:I22"/>
    <mergeCell ref="G6:G9"/>
    <mergeCell ref="H6:H9"/>
    <mergeCell ref="C7:D7"/>
    <mergeCell ref="E7:F7"/>
  </mergeCells>
  <printOptions/>
  <pageMargins left="0" right="0"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T30"/>
  <sheetViews>
    <sheetView zoomScale="85" zoomScaleNormal="85" zoomScalePageLayoutView="0" workbookViewId="0" topLeftCell="A1">
      <selection activeCell="A27" sqref="A27:O27"/>
    </sheetView>
  </sheetViews>
  <sheetFormatPr defaultColWidth="9.00390625" defaultRowHeight="12.75"/>
  <cols>
    <col min="1" max="1" width="5.421875" style="1" customWidth="1"/>
    <col min="2" max="2" width="23.00390625" style="2" customWidth="1"/>
    <col min="3" max="3" width="9.140625" style="1" customWidth="1"/>
    <col min="4" max="4" width="11.57421875" style="3" customWidth="1"/>
    <col min="5" max="5" width="11.8515625" style="3" customWidth="1"/>
    <col min="6" max="6" width="10.28125" style="3" customWidth="1"/>
    <col min="7" max="7" width="10.00390625" style="3" customWidth="1"/>
    <col min="8" max="11" width="11.28125" style="1" customWidth="1"/>
    <col min="12" max="12" width="10.8515625" style="1" customWidth="1"/>
    <col min="13" max="13" width="13.00390625" style="216" customWidth="1"/>
    <col min="14" max="14" width="15.421875" style="362" customWidth="1"/>
    <col min="15" max="15" width="11.8515625" style="362" customWidth="1"/>
    <col min="16" max="16" width="12.00390625" style="177" hidden="1" customWidth="1"/>
    <col min="17" max="17" width="17.140625" style="168" hidden="1" customWidth="1"/>
    <col min="18" max="18" width="17.7109375" style="1" hidden="1" customWidth="1"/>
    <col min="19" max="19" width="0" style="177" hidden="1" customWidth="1"/>
    <col min="20" max="20" width="14.421875" style="168" hidden="1" customWidth="1"/>
    <col min="21" max="23" width="0" style="1" hidden="1" customWidth="1"/>
    <col min="24" max="16384" width="9.00390625" style="1" customWidth="1"/>
  </cols>
  <sheetData>
    <row r="1" spans="13:15" ht="15.75">
      <c r="M1" s="614" t="s">
        <v>110</v>
      </c>
      <c r="N1" s="614"/>
      <c r="O1" s="614"/>
    </row>
    <row r="2" spans="1:15" ht="15.75">
      <c r="A2" s="663" t="s">
        <v>147</v>
      </c>
      <c r="B2" s="663"/>
      <c r="C2" s="663"/>
      <c r="D2" s="663"/>
      <c r="E2" s="663"/>
      <c r="F2" s="663"/>
      <c r="G2" s="663"/>
      <c r="H2" s="663"/>
      <c r="I2" s="663"/>
      <c r="J2" s="663"/>
      <c r="K2" s="663"/>
      <c r="L2" s="663"/>
      <c r="M2" s="663"/>
      <c r="N2" s="663"/>
      <c r="O2" s="663"/>
    </row>
    <row r="3" spans="1:20" s="5" customFormat="1" ht="27" customHeight="1">
      <c r="A3" s="664" t="s">
        <v>4</v>
      </c>
      <c r="B3" s="664"/>
      <c r="C3" s="664"/>
      <c r="D3" s="664"/>
      <c r="E3" s="664"/>
      <c r="F3" s="664"/>
      <c r="G3" s="664"/>
      <c r="H3" s="664"/>
      <c r="I3" s="664"/>
      <c r="J3" s="664"/>
      <c r="K3" s="664"/>
      <c r="L3" s="664"/>
      <c r="M3" s="664"/>
      <c r="N3" s="664"/>
      <c r="O3" s="664"/>
      <c r="P3" s="178"/>
      <c r="Q3" s="169"/>
      <c r="S3" s="178"/>
      <c r="T3" s="169"/>
    </row>
    <row r="4" spans="1:20" s="5" customFormat="1" ht="31.5" customHeight="1">
      <c r="A4" s="665" t="s">
        <v>132</v>
      </c>
      <c r="B4" s="665"/>
      <c r="C4" s="665"/>
      <c r="D4" s="665"/>
      <c r="E4" s="665"/>
      <c r="F4" s="665"/>
      <c r="G4" s="665"/>
      <c r="H4" s="665"/>
      <c r="I4" s="665"/>
      <c r="J4" s="665"/>
      <c r="K4" s="665"/>
      <c r="L4" s="665"/>
      <c r="M4" s="665"/>
      <c r="N4" s="665"/>
      <c r="O4" s="665"/>
      <c r="P4" s="178"/>
      <c r="Q4" s="169"/>
      <c r="S4" s="178"/>
      <c r="T4" s="169"/>
    </row>
    <row r="5" ht="8.25" customHeight="1">
      <c r="L5" s="362"/>
    </row>
    <row r="6" spans="1:20" s="9" customFormat="1" ht="28.5" customHeight="1">
      <c r="A6" s="666" t="s">
        <v>47</v>
      </c>
      <c r="B6" s="666" t="s">
        <v>48</v>
      </c>
      <c r="C6" s="666" t="s">
        <v>49</v>
      </c>
      <c r="D6" s="666"/>
      <c r="E6" s="666"/>
      <c r="F6" s="666"/>
      <c r="G6" s="666"/>
      <c r="H6" s="666"/>
      <c r="I6" s="666"/>
      <c r="J6" s="666"/>
      <c r="K6" s="666"/>
      <c r="L6" s="662" t="s">
        <v>50</v>
      </c>
      <c r="M6" s="662"/>
      <c r="N6" s="662"/>
      <c r="O6" s="667" t="s">
        <v>6</v>
      </c>
      <c r="P6" s="179"/>
      <c r="Q6" s="170"/>
      <c r="S6" s="182"/>
      <c r="T6" s="170"/>
    </row>
    <row r="7" spans="1:20" s="12" customFormat="1" ht="29.25" customHeight="1">
      <c r="A7" s="666"/>
      <c r="B7" s="666"/>
      <c r="C7" s="668" t="s">
        <v>69</v>
      </c>
      <c r="D7" s="668"/>
      <c r="E7" s="661" t="s">
        <v>70</v>
      </c>
      <c r="F7" s="661"/>
      <c r="G7" s="661" t="s">
        <v>71</v>
      </c>
      <c r="H7" s="661"/>
      <c r="I7" s="661" t="s">
        <v>54</v>
      </c>
      <c r="J7" s="661"/>
      <c r="K7" s="661" t="s">
        <v>72</v>
      </c>
      <c r="L7" s="662" t="s">
        <v>7</v>
      </c>
      <c r="M7" s="610" t="s">
        <v>13</v>
      </c>
      <c r="N7" s="610"/>
      <c r="O7" s="667"/>
      <c r="P7" s="180"/>
      <c r="Q7" s="171"/>
      <c r="S7" s="181"/>
      <c r="T7" s="171"/>
    </row>
    <row r="8" spans="1:20" s="12" customFormat="1" ht="72.75" customHeight="1">
      <c r="A8" s="666"/>
      <c r="B8" s="666"/>
      <c r="C8" s="61" t="s">
        <v>96</v>
      </c>
      <c r="D8" s="62" t="s">
        <v>57</v>
      </c>
      <c r="E8" s="62" t="s">
        <v>74</v>
      </c>
      <c r="F8" s="62" t="s">
        <v>57</v>
      </c>
      <c r="G8" s="62" t="s">
        <v>59</v>
      </c>
      <c r="H8" s="62" t="s">
        <v>57</v>
      </c>
      <c r="I8" s="77" t="s">
        <v>60</v>
      </c>
      <c r="J8" s="77" t="s">
        <v>57</v>
      </c>
      <c r="K8" s="661"/>
      <c r="L8" s="662"/>
      <c r="M8" s="363" t="s">
        <v>17</v>
      </c>
      <c r="N8" s="364" t="s">
        <v>18</v>
      </c>
      <c r="O8" s="667"/>
      <c r="P8" s="181"/>
      <c r="Q8" s="171"/>
      <c r="S8" s="181"/>
      <c r="T8" s="171"/>
    </row>
    <row r="9" spans="1:20" s="9" customFormat="1" ht="35.25" customHeight="1">
      <c r="A9" s="213" t="s">
        <v>21</v>
      </c>
      <c r="B9" s="213" t="s">
        <v>22</v>
      </c>
      <c r="C9" s="213">
        <v>1</v>
      </c>
      <c r="D9" s="214">
        <v>2</v>
      </c>
      <c r="E9" s="214">
        <v>3</v>
      </c>
      <c r="F9" s="214">
        <v>4</v>
      </c>
      <c r="G9" s="214">
        <v>5</v>
      </c>
      <c r="H9" s="213">
        <v>6</v>
      </c>
      <c r="I9" s="213">
        <v>7</v>
      </c>
      <c r="J9" s="213">
        <v>8</v>
      </c>
      <c r="K9" s="213" t="s">
        <v>109</v>
      </c>
      <c r="L9" s="365">
        <v>10</v>
      </c>
      <c r="M9" s="365">
        <v>11</v>
      </c>
      <c r="N9" s="365">
        <v>12</v>
      </c>
      <c r="O9" s="365">
        <v>13</v>
      </c>
      <c r="P9" s="182"/>
      <c r="Q9" s="170"/>
      <c r="R9" s="9">
        <f>3663-366</f>
        <v>3297</v>
      </c>
      <c r="S9" s="182"/>
      <c r="T9" s="170"/>
    </row>
    <row r="10" spans="1:20" s="9" customFormat="1" ht="45" customHeight="1" hidden="1">
      <c r="A10" s="63"/>
      <c r="B10" s="63"/>
      <c r="C10" s="64"/>
      <c r="D10" s="65"/>
      <c r="E10" s="65"/>
      <c r="F10" s="65"/>
      <c r="G10" s="65"/>
      <c r="H10" s="64"/>
      <c r="I10" s="64"/>
      <c r="J10" s="64"/>
      <c r="K10" s="64"/>
      <c r="L10" s="64"/>
      <c r="M10" s="225"/>
      <c r="N10" s="384"/>
      <c r="O10" s="384"/>
      <c r="P10" s="183"/>
      <c r="Q10" s="170"/>
      <c r="S10" s="182"/>
      <c r="T10" s="170"/>
    </row>
    <row r="11" spans="1:20" s="21" customFormat="1" ht="24.75" customHeight="1">
      <c r="A11" s="227"/>
      <c r="B11" s="227" t="s">
        <v>86</v>
      </c>
      <c r="C11" s="228">
        <f aca="true" t="shared" si="0" ref="C11:N11">C12+C15</f>
        <v>452.87000000000006</v>
      </c>
      <c r="D11" s="228">
        <f t="shared" si="0"/>
        <v>5.9</v>
      </c>
      <c r="E11" s="228">
        <f t="shared" si="0"/>
        <v>57576</v>
      </c>
      <c r="F11" s="228">
        <f t="shared" si="0"/>
        <v>6.050000000000002</v>
      </c>
      <c r="G11" s="228">
        <f t="shared" si="0"/>
        <v>0</v>
      </c>
      <c r="H11" s="228">
        <f t="shared" si="0"/>
        <v>7</v>
      </c>
      <c r="I11" s="228">
        <f t="shared" si="0"/>
        <v>129</v>
      </c>
      <c r="J11" s="228">
        <f t="shared" si="0"/>
        <v>13.049999999999999</v>
      </c>
      <c r="K11" s="228">
        <f t="shared" si="0"/>
        <v>16.783</v>
      </c>
      <c r="L11" s="228">
        <f t="shared" si="0"/>
        <v>20732</v>
      </c>
      <c r="M11" s="228">
        <f t="shared" si="0"/>
        <v>17069</v>
      </c>
      <c r="N11" s="228">
        <f t="shared" si="0"/>
        <v>3663</v>
      </c>
      <c r="O11" s="385"/>
      <c r="P11" s="184">
        <v>17069</v>
      </c>
      <c r="Q11" s="172">
        <v>811</v>
      </c>
      <c r="R11" s="67"/>
      <c r="S11" s="179"/>
      <c r="T11" s="175"/>
    </row>
    <row r="12" spans="1:20" s="21" customFormat="1" ht="24.75" customHeight="1">
      <c r="A12" s="352" t="s">
        <v>24</v>
      </c>
      <c r="B12" s="352" t="s">
        <v>25</v>
      </c>
      <c r="C12" s="353">
        <f aca="true" t="shared" si="1" ref="C12:N12">SUM(C13:C14)</f>
        <v>0</v>
      </c>
      <c r="D12" s="353">
        <f t="shared" si="1"/>
        <v>0</v>
      </c>
      <c r="E12" s="353">
        <f t="shared" si="1"/>
        <v>0</v>
      </c>
      <c r="F12" s="353">
        <f t="shared" si="1"/>
        <v>0</v>
      </c>
      <c r="G12" s="353">
        <f t="shared" si="1"/>
        <v>0</v>
      </c>
      <c r="H12" s="353">
        <f t="shared" si="1"/>
        <v>0</v>
      </c>
      <c r="I12" s="353">
        <f t="shared" si="1"/>
        <v>0</v>
      </c>
      <c r="J12" s="353">
        <f t="shared" si="1"/>
        <v>0</v>
      </c>
      <c r="K12" s="353">
        <f t="shared" si="1"/>
        <v>0</v>
      </c>
      <c r="L12" s="353">
        <f t="shared" si="1"/>
        <v>5486</v>
      </c>
      <c r="M12" s="354">
        <f t="shared" si="1"/>
        <v>5120</v>
      </c>
      <c r="N12" s="354">
        <f t="shared" si="1"/>
        <v>366</v>
      </c>
      <c r="O12" s="386"/>
      <c r="P12" s="184">
        <f>P11-M11</f>
        <v>0</v>
      </c>
      <c r="Q12" s="172">
        <f>Q11-284</f>
        <v>527</v>
      </c>
      <c r="R12" s="67"/>
      <c r="S12" s="179"/>
      <c r="T12" s="175"/>
    </row>
    <row r="13" spans="1:20" s="73" customFormat="1" ht="36" customHeight="1">
      <c r="A13" s="355">
        <v>1</v>
      </c>
      <c r="B13" s="355" t="s">
        <v>26</v>
      </c>
      <c r="C13" s="356"/>
      <c r="D13" s="357"/>
      <c r="E13" s="356"/>
      <c r="F13" s="357"/>
      <c r="G13" s="357"/>
      <c r="H13" s="357"/>
      <c r="I13" s="357"/>
      <c r="J13" s="357"/>
      <c r="K13" s="357"/>
      <c r="L13" s="241">
        <f>M13+N13</f>
        <v>366</v>
      </c>
      <c r="M13" s="243"/>
      <c r="N13" s="243">
        <v>366</v>
      </c>
      <c r="O13" s="387"/>
      <c r="P13" s="185"/>
      <c r="Q13" s="173"/>
      <c r="R13" s="72"/>
      <c r="S13" s="187"/>
      <c r="T13" s="176"/>
    </row>
    <row r="14" spans="1:20" s="73" customFormat="1" ht="27" customHeight="1">
      <c r="A14" s="234">
        <v>2</v>
      </c>
      <c r="B14" s="234" t="s">
        <v>27</v>
      </c>
      <c r="C14" s="243"/>
      <c r="D14" s="380"/>
      <c r="E14" s="243"/>
      <c r="F14" s="380"/>
      <c r="G14" s="380"/>
      <c r="H14" s="380"/>
      <c r="I14" s="380"/>
      <c r="J14" s="380"/>
      <c r="K14" s="380"/>
      <c r="L14" s="358">
        <f>M14+N14</f>
        <v>5120</v>
      </c>
      <c r="M14" s="243">
        <v>5120</v>
      </c>
      <c r="N14" s="243"/>
      <c r="O14" s="387"/>
      <c r="P14" s="185"/>
      <c r="Q14" s="173"/>
      <c r="R14" s="72"/>
      <c r="S14" s="187"/>
      <c r="T14" s="176"/>
    </row>
    <row r="15" spans="1:20" s="379" customFormat="1" ht="27" customHeight="1">
      <c r="A15" s="381" t="s">
        <v>34</v>
      </c>
      <c r="B15" s="381" t="s">
        <v>35</v>
      </c>
      <c r="C15" s="382">
        <f>SUM(C16:C25)</f>
        <v>452.87000000000006</v>
      </c>
      <c r="D15" s="354">
        <f>SUM(D16:D25)</f>
        <v>5.9</v>
      </c>
      <c r="E15" s="354">
        <f>SUM(E16:E25)</f>
        <v>57576</v>
      </c>
      <c r="F15" s="382">
        <f>SUM(F16:F25)</f>
        <v>6.050000000000002</v>
      </c>
      <c r="G15" s="382"/>
      <c r="H15" s="382">
        <f aca="true" t="shared" si="2" ref="H15:N15">SUM(H16:H25)</f>
        <v>7</v>
      </c>
      <c r="I15" s="354">
        <f t="shared" si="2"/>
        <v>129</v>
      </c>
      <c r="J15" s="382">
        <f t="shared" si="2"/>
        <v>13.049999999999999</v>
      </c>
      <c r="K15" s="383">
        <f t="shared" si="2"/>
        <v>16.783</v>
      </c>
      <c r="L15" s="354">
        <f t="shared" si="2"/>
        <v>15246</v>
      </c>
      <c r="M15" s="354">
        <f t="shared" si="2"/>
        <v>11949</v>
      </c>
      <c r="N15" s="354">
        <f t="shared" si="2"/>
        <v>3297</v>
      </c>
      <c r="O15" s="388"/>
      <c r="P15" s="375">
        <v>11949</v>
      </c>
      <c r="Q15" s="376">
        <v>3297</v>
      </c>
      <c r="R15" s="377">
        <v>16.783</v>
      </c>
      <c r="S15" s="375">
        <f>K15*P15/R15</f>
        <v>11949</v>
      </c>
      <c r="T15" s="378">
        <f>K15*Q15/R15</f>
        <v>3297</v>
      </c>
    </row>
    <row r="16" spans="1:20" s="377" customFormat="1" ht="23.25" customHeight="1">
      <c r="A16" s="233">
        <v>1</v>
      </c>
      <c r="B16" s="234" t="s">
        <v>36</v>
      </c>
      <c r="C16" s="235">
        <v>65.59</v>
      </c>
      <c r="D16" s="236">
        <v>0.7</v>
      </c>
      <c r="E16" s="237">
        <f>5655+535</f>
        <v>6190</v>
      </c>
      <c r="F16" s="238">
        <v>0.6000000000000001</v>
      </c>
      <c r="G16" s="238" t="s">
        <v>80</v>
      </c>
      <c r="H16" s="238">
        <v>1</v>
      </c>
      <c r="I16" s="241">
        <v>11</v>
      </c>
      <c r="J16" s="242">
        <v>1.15</v>
      </c>
      <c r="K16" s="242">
        <f aca="true" t="shared" si="3" ref="K16:K25">(D16+F16)*(0.12*H16+J16)</f>
        <v>1.651</v>
      </c>
      <c r="L16" s="241">
        <f aca="true" t="shared" si="4" ref="L16:L25">M16+N16</f>
        <v>1500</v>
      </c>
      <c r="M16" s="359">
        <v>1175</v>
      </c>
      <c r="N16" s="360">
        <v>325</v>
      </c>
      <c r="O16" s="389"/>
      <c r="P16" s="375">
        <v>11949</v>
      </c>
      <c r="Q16" s="376">
        <v>3297</v>
      </c>
      <c r="R16" s="377">
        <v>16.783</v>
      </c>
      <c r="S16" s="375">
        <f aca="true" t="shared" si="5" ref="S16:S25">K16*P16/R16</f>
        <v>1175.4632068164212</v>
      </c>
      <c r="T16" s="378">
        <f aca="true" t="shared" si="6" ref="T16:T25">K16*Q16/R16</f>
        <v>324.33694810224625</v>
      </c>
    </row>
    <row r="17" spans="1:20" s="377" customFormat="1" ht="23.25" customHeight="1">
      <c r="A17" s="233">
        <v>2</v>
      </c>
      <c r="B17" s="234" t="s">
        <v>37</v>
      </c>
      <c r="C17" s="235">
        <v>64.65</v>
      </c>
      <c r="D17" s="236">
        <v>0.7</v>
      </c>
      <c r="E17" s="237">
        <f>5259+986</f>
        <v>6245</v>
      </c>
      <c r="F17" s="238">
        <v>0.6000000000000001</v>
      </c>
      <c r="G17" s="238" t="s">
        <v>80</v>
      </c>
      <c r="H17" s="238">
        <v>1</v>
      </c>
      <c r="I17" s="241">
        <v>12</v>
      </c>
      <c r="J17" s="242">
        <v>1.15</v>
      </c>
      <c r="K17" s="242">
        <f t="shared" si="3"/>
        <v>1.651</v>
      </c>
      <c r="L17" s="241">
        <f t="shared" si="4"/>
        <v>1500</v>
      </c>
      <c r="M17" s="359">
        <v>1175</v>
      </c>
      <c r="N17" s="360">
        <v>325</v>
      </c>
      <c r="O17" s="389"/>
      <c r="P17" s="375">
        <v>11949</v>
      </c>
      <c r="Q17" s="376">
        <v>3297</v>
      </c>
      <c r="R17" s="377">
        <v>16.783</v>
      </c>
      <c r="S17" s="375">
        <f t="shared" si="5"/>
        <v>1175.4632068164212</v>
      </c>
      <c r="T17" s="378">
        <f t="shared" si="6"/>
        <v>324.33694810224625</v>
      </c>
    </row>
    <row r="18" spans="1:20" s="377" customFormat="1" ht="23.25" customHeight="1">
      <c r="A18" s="233">
        <v>3</v>
      </c>
      <c r="B18" s="234" t="s">
        <v>38</v>
      </c>
      <c r="C18" s="235">
        <v>61.8</v>
      </c>
      <c r="D18" s="236">
        <v>0.7</v>
      </c>
      <c r="E18" s="237">
        <f>5475+1841</f>
        <v>7316</v>
      </c>
      <c r="F18" s="238">
        <v>0.7</v>
      </c>
      <c r="G18" s="238" t="s">
        <v>80</v>
      </c>
      <c r="H18" s="238">
        <v>1</v>
      </c>
      <c r="I18" s="241">
        <v>12</v>
      </c>
      <c r="J18" s="242">
        <v>1.15</v>
      </c>
      <c r="K18" s="242">
        <f t="shared" si="3"/>
        <v>1.7779999999999998</v>
      </c>
      <c r="L18" s="241">
        <f t="shared" si="4"/>
        <v>1615</v>
      </c>
      <c r="M18" s="359">
        <v>1265</v>
      </c>
      <c r="N18" s="360">
        <v>350</v>
      </c>
      <c r="O18" s="389"/>
      <c r="P18" s="375">
        <v>11949</v>
      </c>
      <c r="Q18" s="376">
        <v>3297</v>
      </c>
      <c r="R18" s="377">
        <v>16.783</v>
      </c>
      <c r="S18" s="375">
        <f t="shared" si="5"/>
        <v>1265.8834534946072</v>
      </c>
      <c r="T18" s="378">
        <f t="shared" si="6"/>
        <v>349.28594411011136</v>
      </c>
    </row>
    <row r="19" spans="1:20" s="377" customFormat="1" ht="23.25" customHeight="1">
      <c r="A19" s="233">
        <v>4</v>
      </c>
      <c r="B19" s="234" t="s">
        <v>39</v>
      </c>
      <c r="C19" s="235">
        <v>57.63</v>
      </c>
      <c r="D19" s="236">
        <v>0.6000000000000001</v>
      </c>
      <c r="E19" s="237">
        <f>9485+1509</f>
        <v>10994</v>
      </c>
      <c r="F19" s="238">
        <v>0.9</v>
      </c>
      <c r="G19" s="238" t="s">
        <v>80</v>
      </c>
      <c r="H19" s="238">
        <v>1</v>
      </c>
      <c r="I19" s="241">
        <v>19</v>
      </c>
      <c r="J19" s="242">
        <v>1.5</v>
      </c>
      <c r="K19" s="242">
        <f t="shared" si="3"/>
        <v>2.43</v>
      </c>
      <c r="L19" s="241">
        <f t="shared" si="4"/>
        <v>2208</v>
      </c>
      <c r="M19" s="359">
        <v>1731</v>
      </c>
      <c r="N19" s="360">
        <v>477</v>
      </c>
      <c r="O19" s="389"/>
      <c r="P19" s="375">
        <v>11949</v>
      </c>
      <c r="Q19" s="376">
        <v>3297</v>
      </c>
      <c r="R19" s="377">
        <v>16.783</v>
      </c>
      <c r="S19" s="375">
        <f t="shared" si="5"/>
        <v>1730.0881844723829</v>
      </c>
      <c r="T19" s="378">
        <f t="shared" si="6"/>
        <v>477.37055353631655</v>
      </c>
    </row>
    <row r="20" spans="1:20" s="377" customFormat="1" ht="23.25" customHeight="1">
      <c r="A20" s="233">
        <v>5</v>
      </c>
      <c r="B20" s="234" t="s">
        <v>40</v>
      </c>
      <c r="C20" s="235">
        <v>58.62</v>
      </c>
      <c r="D20" s="236">
        <v>0.6000000000000001</v>
      </c>
      <c r="E20" s="237">
        <f>7274+741</f>
        <v>8015</v>
      </c>
      <c r="F20" s="238">
        <v>0.8</v>
      </c>
      <c r="G20" s="238" t="s">
        <v>80</v>
      </c>
      <c r="H20" s="238">
        <v>1</v>
      </c>
      <c r="I20" s="241">
        <v>14</v>
      </c>
      <c r="J20" s="242">
        <v>1.3</v>
      </c>
      <c r="K20" s="242">
        <f t="shared" si="3"/>
        <v>1.988</v>
      </c>
      <c r="L20" s="241">
        <f t="shared" si="4"/>
        <v>1805</v>
      </c>
      <c r="M20" s="359">
        <v>1415</v>
      </c>
      <c r="N20" s="360">
        <v>390</v>
      </c>
      <c r="O20" s="389"/>
      <c r="P20" s="375">
        <v>11949</v>
      </c>
      <c r="Q20" s="376">
        <v>3297</v>
      </c>
      <c r="R20" s="377">
        <v>16.783</v>
      </c>
      <c r="S20" s="375">
        <f t="shared" si="5"/>
        <v>1415.397247214443</v>
      </c>
      <c r="T20" s="378">
        <f t="shared" si="6"/>
        <v>390.54018947744737</v>
      </c>
    </row>
    <row r="21" spans="1:20" ht="23.25" customHeight="1">
      <c r="A21" s="233">
        <v>6</v>
      </c>
      <c r="B21" s="234" t="s">
        <v>41</v>
      </c>
      <c r="C21" s="235">
        <v>50.11</v>
      </c>
      <c r="D21" s="236">
        <v>0.6000000000000001</v>
      </c>
      <c r="E21" s="237">
        <f>4243+1343</f>
        <v>5586</v>
      </c>
      <c r="F21" s="236">
        <v>0.5</v>
      </c>
      <c r="G21" s="238" t="s">
        <v>80</v>
      </c>
      <c r="H21" s="238">
        <v>1</v>
      </c>
      <c r="I21" s="245">
        <v>10</v>
      </c>
      <c r="J21" s="235">
        <v>1.15</v>
      </c>
      <c r="K21" s="242">
        <f t="shared" si="3"/>
        <v>1.3970000000000002</v>
      </c>
      <c r="L21" s="241">
        <f t="shared" si="4"/>
        <v>1270</v>
      </c>
      <c r="M21" s="359">
        <v>995</v>
      </c>
      <c r="N21" s="360">
        <v>275</v>
      </c>
      <c r="O21" s="389"/>
      <c r="P21" s="177">
        <v>11949</v>
      </c>
      <c r="Q21" s="168">
        <v>3297</v>
      </c>
      <c r="R21" s="1">
        <v>16.783</v>
      </c>
      <c r="S21" s="177">
        <f t="shared" si="5"/>
        <v>994.622713460049</v>
      </c>
      <c r="T21" s="200">
        <f t="shared" si="6"/>
        <v>274.43895608651616</v>
      </c>
    </row>
    <row r="22" spans="1:20" ht="23.25" customHeight="1">
      <c r="A22" s="233">
        <v>7</v>
      </c>
      <c r="B22" s="234" t="s">
        <v>42</v>
      </c>
      <c r="C22" s="235">
        <v>60.17</v>
      </c>
      <c r="D22" s="236">
        <v>0.7</v>
      </c>
      <c r="E22" s="237">
        <f>6221+559</f>
        <v>6780</v>
      </c>
      <c r="F22" s="238">
        <v>0.7</v>
      </c>
      <c r="G22" s="238" t="s">
        <v>80</v>
      </c>
      <c r="H22" s="238">
        <v>1</v>
      </c>
      <c r="I22" s="241">
        <v>15</v>
      </c>
      <c r="J22" s="242">
        <v>1.5</v>
      </c>
      <c r="K22" s="242">
        <f t="shared" si="3"/>
        <v>2.268</v>
      </c>
      <c r="L22" s="241">
        <f t="shared" si="4"/>
        <v>2060</v>
      </c>
      <c r="M22" s="359">
        <v>1615</v>
      </c>
      <c r="N22" s="360">
        <v>445</v>
      </c>
      <c r="O22" s="389"/>
      <c r="P22" s="177">
        <v>11949</v>
      </c>
      <c r="Q22" s="168">
        <v>3297</v>
      </c>
      <c r="R22" s="1">
        <v>16.783</v>
      </c>
      <c r="S22" s="177">
        <f t="shared" si="5"/>
        <v>1614.7489721742238</v>
      </c>
      <c r="T22" s="200">
        <f t="shared" si="6"/>
        <v>445.54584996722866</v>
      </c>
    </row>
    <row r="23" spans="1:20" ht="23.25" customHeight="1">
      <c r="A23" s="233">
        <v>8</v>
      </c>
      <c r="B23" s="234" t="s">
        <v>43</v>
      </c>
      <c r="C23" s="235">
        <f>11.9+9.65</f>
        <v>21.55</v>
      </c>
      <c r="D23" s="236">
        <v>0.5</v>
      </c>
      <c r="E23" s="237">
        <f>2997+2429</f>
        <v>5426</v>
      </c>
      <c r="F23" s="238">
        <v>0.45</v>
      </c>
      <c r="G23" s="238"/>
      <c r="H23" s="238"/>
      <c r="I23" s="241">
        <v>21</v>
      </c>
      <c r="J23" s="242">
        <v>2</v>
      </c>
      <c r="K23" s="242">
        <f t="shared" si="3"/>
        <v>1.9</v>
      </c>
      <c r="L23" s="241">
        <f t="shared" si="4"/>
        <v>1726</v>
      </c>
      <c r="M23" s="360">
        <v>1353</v>
      </c>
      <c r="N23" s="360">
        <v>373</v>
      </c>
      <c r="O23" s="390"/>
      <c r="P23" s="177">
        <v>11949</v>
      </c>
      <c r="Q23" s="168">
        <v>3297</v>
      </c>
      <c r="R23" s="1">
        <v>16.783</v>
      </c>
      <c r="S23" s="177">
        <f t="shared" si="5"/>
        <v>1352.743847941369</v>
      </c>
      <c r="T23" s="200">
        <f t="shared" si="6"/>
        <v>373.2526961806589</v>
      </c>
    </row>
    <row r="24" spans="1:20" s="38" customFormat="1" ht="23.25" customHeight="1">
      <c r="A24" s="233">
        <v>9</v>
      </c>
      <c r="B24" s="234" t="s">
        <v>44</v>
      </c>
      <c r="C24" s="235">
        <f>8.06+1.17</f>
        <v>9.23</v>
      </c>
      <c r="D24" s="236">
        <v>0.4</v>
      </c>
      <c r="E24" s="237">
        <f>249+36</f>
        <v>285</v>
      </c>
      <c r="F24" s="238">
        <v>0.4</v>
      </c>
      <c r="G24" s="238"/>
      <c r="H24" s="238"/>
      <c r="I24" s="241">
        <v>3</v>
      </c>
      <c r="J24" s="361">
        <v>1</v>
      </c>
      <c r="K24" s="242">
        <f t="shared" si="3"/>
        <v>0.8</v>
      </c>
      <c r="L24" s="241">
        <f t="shared" si="4"/>
        <v>727</v>
      </c>
      <c r="M24" s="360">
        <v>570</v>
      </c>
      <c r="N24" s="360">
        <v>157</v>
      </c>
      <c r="O24" s="391"/>
      <c r="P24" s="177">
        <v>11949</v>
      </c>
      <c r="Q24" s="168">
        <v>3297</v>
      </c>
      <c r="R24" s="1">
        <v>16.783</v>
      </c>
      <c r="S24" s="177">
        <f t="shared" si="5"/>
        <v>569.5763570279449</v>
      </c>
      <c r="T24" s="200">
        <f t="shared" si="6"/>
        <v>157.1590299708038</v>
      </c>
    </row>
    <row r="25" spans="1:20" s="38" customFormat="1" ht="23.25" customHeight="1">
      <c r="A25" s="247">
        <v>10</v>
      </c>
      <c r="B25" s="248" t="s">
        <v>45</v>
      </c>
      <c r="C25" s="249">
        <f>1.79+1.73</f>
        <v>3.52</v>
      </c>
      <c r="D25" s="250">
        <v>0.4</v>
      </c>
      <c r="E25" s="251">
        <f>375+364</f>
        <v>739</v>
      </c>
      <c r="F25" s="252">
        <v>0.4</v>
      </c>
      <c r="G25" s="252"/>
      <c r="H25" s="252"/>
      <c r="I25" s="255">
        <v>12</v>
      </c>
      <c r="J25" s="361">
        <v>1.15</v>
      </c>
      <c r="K25" s="242">
        <f t="shared" si="3"/>
        <v>0.9199999999999999</v>
      </c>
      <c r="L25" s="241">
        <f t="shared" si="4"/>
        <v>835</v>
      </c>
      <c r="M25" s="360">
        <v>655</v>
      </c>
      <c r="N25" s="360">
        <v>180</v>
      </c>
      <c r="O25" s="391"/>
      <c r="P25" s="177">
        <v>11949</v>
      </c>
      <c r="Q25" s="168">
        <v>3297</v>
      </c>
      <c r="R25" s="1">
        <v>16.783</v>
      </c>
      <c r="S25" s="177">
        <f t="shared" si="5"/>
        <v>655.0128105821366</v>
      </c>
      <c r="T25" s="200">
        <f t="shared" si="6"/>
        <v>180.73288446642434</v>
      </c>
    </row>
    <row r="26" spans="1:20" s="38" customFormat="1" ht="19.5" customHeight="1">
      <c r="A26" s="30"/>
      <c r="B26" s="31"/>
      <c r="C26" s="32"/>
      <c r="D26" s="33"/>
      <c r="E26" s="34"/>
      <c r="F26" s="35"/>
      <c r="G26" s="33"/>
      <c r="H26" s="36"/>
      <c r="I26" s="36"/>
      <c r="J26" s="36"/>
      <c r="K26" s="36"/>
      <c r="L26" s="37"/>
      <c r="M26" s="392"/>
      <c r="N26" s="393"/>
      <c r="O26" s="394"/>
      <c r="P26" s="186"/>
      <c r="Q26" s="174"/>
      <c r="S26" s="186"/>
      <c r="T26" s="174"/>
    </row>
    <row r="27" spans="1:15" ht="46.5" customHeight="1">
      <c r="A27" s="658" t="s">
        <v>87</v>
      </c>
      <c r="B27" s="658"/>
      <c r="C27" s="658"/>
      <c r="D27" s="658"/>
      <c r="E27" s="658"/>
      <c r="F27" s="658"/>
      <c r="G27" s="658"/>
      <c r="H27" s="658"/>
      <c r="I27" s="658"/>
      <c r="J27" s="658"/>
      <c r="K27" s="658"/>
      <c r="L27" s="658"/>
      <c r="M27" s="658"/>
      <c r="N27" s="658"/>
      <c r="O27" s="658"/>
    </row>
    <row r="28" spans="1:20" s="5" customFormat="1" ht="37.5" customHeight="1">
      <c r="A28" s="659"/>
      <c r="B28" s="659"/>
      <c r="C28" s="659"/>
      <c r="D28" s="659"/>
      <c r="E28" s="659"/>
      <c r="F28" s="659"/>
      <c r="G28" s="659"/>
      <c r="H28" s="659"/>
      <c r="I28" s="659"/>
      <c r="J28" s="659"/>
      <c r="K28" s="659"/>
      <c r="L28" s="659"/>
      <c r="M28" s="659"/>
      <c r="N28" s="659"/>
      <c r="O28" s="659"/>
      <c r="P28" s="178"/>
      <c r="Q28" s="169"/>
      <c r="S28" s="178"/>
      <c r="T28" s="169"/>
    </row>
    <row r="29" spans="1:20" s="5" customFormat="1" ht="23.25" customHeight="1">
      <c r="A29" s="659"/>
      <c r="B29" s="659"/>
      <c r="C29" s="659"/>
      <c r="D29" s="659"/>
      <c r="E29" s="659"/>
      <c r="F29" s="659"/>
      <c r="G29" s="659"/>
      <c r="H29" s="659"/>
      <c r="I29" s="659"/>
      <c r="J29" s="659"/>
      <c r="K29" s="659"/>
      <c r="L29" s="659"/>
      <c r="M29" s="659"/>
      <c r="N29" s="659"/>
      <c r="O29" s="659"/>
      <c r="P29" s="178"/>
      <c r="Q29" s="169"/>
      <c r="S29" s="178"/>
      <c r="T29" s="169"/>
    </row>
    <row r="30" spans="1:15" ht="30.75" customHeight="1">
      <c r="A30" s="660"/>
      <c r="B30" s="660"/>
      <c r="C30" s="660"/>
      <c r="D30" s="660"/>
      <c r="E30" s="660"/>
      <c r="F30" s="660"/>
      <c r="G30" s="660"/>
      <c r="H30" s="660"/>
      <c r="I30" s="660"/>
      <c r="J30" s="660"/>
      <c r="K30" s="660"/>
      <c r="L30" s="660"/>
      <c r="M30" s="660"/>
      <c r="N30" s="660"/>
      <c r="O30" s="660"/>
    </row>
  </sheetData>
  <sheetProtection selectLockedCells="1" selectUnlockedCells="1"/>
  <mergeCells count="20">
    <mergeCell ref="M1:O1"/>
    <mergeCell ref="A2:O2"/>
    <mergeCell ref="A3:O3"/>
    <mergeCell ref="A4:O4"/>
    <mergeCell ref="A6:A8"/>
    <mergeCell ref="B6:B8"/>
    <mergeCell ref="C6:K6"/>
    <mergeCell ref="L6:N6"/>
    <mergeCell ref="O6:O8"/>
    <mergeCell ref="C7:D7"/>
    <mergeCell ref="A27:O27"/>
    <mergeCell ref="A28:O28"/>
    <mergeCell ref="A29:O29"/>
    <mergeCell ref="A30:O30"/>
    <mergeCell ref="E7:F7"/>
    <mergeCell ref="G7:H7"/>
    <mergeCell ref="I7:J7"/>
    <mergeCell ref="K7:K8"/>
    <mergeCell ref="L7:L8"/>
    <mergeCell ref="M7:N7"/>
  </mergeCells>
  <printOptions horizontalCentered="1"/>
  <pageMargins left="0" right="0" top="0.5902777777777778" bottom="0.5902777777777778" header="0.5118055555555555" footer="0.5118055555555555"/>
  <pageSetup horizontalDpi="300" verticalDpi="300" orientation="landscape" paperSize="9" scale="80" r:id="rId1"/>
</worksheet>
</file>

<file path=xl/worksheets/sheet12.xml><?xml version="1.0" encoding="utf-8"?>
<worksheet xmlns="http://schemas.openxmlformats.org/spreadsheetml/2006/main" xmlns:r="http://schemas.openxmlformats.org/officeDocument/2006/relationships">
  <sheetPr>
    <tabColor rgb="FF002060"/>
  </sheetPr>
  <dimension ref="A1:T32"/>
  <sheetViews>
    <sheetView zoomScalePageLayoutView="0" workbookViewId="0" topLeftCell="A1">
      <selection activeCell="I14" sqref="I14"/>
    </sheetView>
  </sheetViews>
  <sheetFormatPr defaultColWidth="5.421875" defaultRowHeight="12.75"/>
  <cols>
    <col min="1" max="1" width="5.421875" style="4" customWidth="1"/>
    <col min="2" max="2" width="23.00390625" style="81" customWidth="1"/>
    <col min="3" max="3" width="9.140625" style="4" customWidth="1"/>
    <col min="4" max="4" width="11.57421875" style="82" customWidth="1"/>
    <col min="5" max="5" width="13.7109375" style="82" customWidth="1"/>
    <col min="6" max="6" width="10.7109375" style="82" customWidth="1"/>
    <col min="7" max="7" width="10.00390625" style="82" customWidth="1"/>
    <col min="8" max="10" width="11.28125" style="4" customWidth="1"/>
    <col min="11" max="11" width="12.8515625" style="4" customWidth="1"/>
    <col min="12" max="12" width="9.421875" style="4" customWidth="1"/>
    <col min="13" max="13" width="10.8515625" style="4" customWidth="1"/>
    <col min="14" max="14" width="11.57421875" style="4" customWidth="1"/>
    <col min="15" max="15" width="12.00390625" style="4" customWidth="1"/>
    <col min="16" max="16" width="17.140625" style="4" hidden="1" customWidth="1"/>
    <col min="17" max="17" width="13.57421875" style="4" hidden="1" customWidth="1"/>
    <col min="18" max="18" width="9.00390625" style="4" hidden="1" customWidth="1"/>
    <col min="19" max="19" width="14.421875" style="4" hidden="1" customWidth="1"/>
    <col min="20" max="255" width="9.00390625" style="4" customWidth="1"/>
    <col min="256" max="16384" width="5.421875" style="4" customWidth="1"/>
  </cols>
  <sheetData>
    <row r="1" spans="12:15" ht="18.75" customHeight="1">
      <c r="L1" s="671" t="s">
        <v>148</v>
      </c>
      <c r="M1" s="671"/>
      <c r="N1" s="671"/>
      <c r="O1" s="671"/>
    </row>
    <row r="2" spans="1:15" ht="18.75" customHeight="1">
      <c r="A2" s="593" t="s">
        <v>147</v>
      </c>
      <c r="B2" s="593"/>
      <c r="C2" s="593"/>
      <c r="D2" s="593"/>
      <c r="E2" s="593"/>
      <c r="F2" s="593"/>
      <c r="G2" s="593"/>
      <c r="H2" s="593"/>
      <c r="I2" s="593"/>
      <c r="J2" s="593"/>
      <c r="K2" s="593"/>
      <c r="L2" s="593"/>
      <c r="M2" s="593"/>
      <c r="N2" s="593"/>
      <c r="O2" s="593"/>
    </row>
    <row r="3" spans="1:15" s="83" customFormat="1" ht="18.75" customHeight="1">
      <c r="A3" s="672" t="s">
        <v>5</v>
      </c>
      <c r="B3" s="672"/>
      <c r="C3" s="672"/>
      <c r="D3" s="672"/>
      <c r="E3" s="672"/>
      <c r="F3" s="672"/>
      <c r="G3" s="672"/>
      <c r="H3" s="672"/>
      <c r="I3" s="672"/>
      <c r="J3" s="672"/>
      <c r="K3" s="672"/>
      <c r="L3" s="672"/>
      <c r="M3" s="672"/>
      <c r="N3" s="672"/>
      <c r="O3" s="672"/>
    </row>
    <row r="4" spans="1:15" s="83" customFormat="1" ht="18.75" customHeight="1">
      <c r="A4" s="673" t="str">
        <f>'DA6'!A4:O4</f>
        <v>(Kèm theo Văn bản số        /SLĐTBXH-BTXH ngày     tháng 11 năm 2022 của Sở Lao động - Thương binh và Xã hội)</v>
      </c>
      <c r="B4" s="673"/>
      <c r="C4" s="673"/>
      <c r="D4" s="673"/>
      <c r="E4" s="673"/>
      <c r="F4" s="673"/>
      <c r="G4" s="673"/>
      <c r="H4" s="673"/>
      <c r="I4" s="673"/>
      <c r="J4" s="673"/>
      <c r="K4" s="673"/>
      <c r="L4" s="673"/>
      <c r="M4" s="673"/>
      <c r="N4" s="673"/>
      <c r="O4" s="673"/>
    </row>
    <row r="5" ht="28.5" customHeight="1"/>
    <row r="6" spans="1:16" s="8" customFormat="1" ht="25.5" customHeight="1">
      <c r="A6" s="674" t="s">
        <v>47</v>
      </c>
      <c r="B6" s="674" t="s">
        <v>48</v>
      </c>
      <c r="C6" s="674" t="s">
        <v>49</v>
      </c>
      <c r="D6" s="674"/>
      <c r="E6" s="674"/>
      <c r="F6" s="674"/>
      <c r="G6" s="674"/>
      <c r="H6" s="674"/>
      <c r="I6" s="674"/>
      <c r="J6" s="674"/>
      <c r="K6" s="674"/>
      <c r="L6" s="670" t="s">
        <v>50</v>
      </c>
      <c r="M6" s="670"/>
      <c r="N6" s="670"/>
      <c r="O6" s="675" t="s">
        <v>6</v>
      </c>
      <c r="P6" s="7"/>
    </row>
    <row r="7" spans="1:16" s="11" customFormat="1" ht="25.5" customHeight="1">
      <c r="A7" s="674"/>
      <c r="B7" s="674"/>
      <c r="C7" s="670" t="s">
        <v>69</v>
      </c>
      <c r="D7" s="670"/>
      <c r="E7" s="613" t="s">
        <v>70</v>
      </c>
      <c r="F7" s="613"/>
      <c r="G7" s="613" t="s">
        <v>71</v>
      </c>
      <c r="H7" s="613"/>
      <c r="I7" s="613" t="s">
        <v>54</v>
      </c>
      <c r="J7" s="613"/>
      <c r="K7" s="613" t="s">
        <v>72</v>
      </c>
      <c r="L7" s="670" t="s">
        <v>7</v>
      </c>
      <c r="M7" s="670" t="s">
        <v>14</v>
      </c>
      <c r="N7" s="670"/>
      <c r="O7" s="675"/>
      <c r="P7" s="10"/>
    </row>
    <row r="8" spans="1:15" s="11" customFormat="1" ht="76.5" customHeight="1">
      <c r="A8" s="674"/>
      <c r="B8" s="674"/>
      <c r="C8" s="6" t="s">
        <v>96</v>
      </c>
      <c r="D8" s="39" t="s">
        <v>57</v>
      </c>
      <c r="E8" s="39" t="s">
        <v>74</v>
      </c>
      <c r="F8" s="39" t="s">
        <v>57</v>
      </c>
      <c r="G8" s="39" t="s">
        <v>59</v>
      </c>
      <c r="H8" s="39" t="s">
        <v>57</v>
      </c>
      <c r="I8" s="13" t="s">
        <v>60</v>
      </c>
      <c r="J8" s="13" t="s">
        <v>57</v>
      </c>
      <c r="K8" s="613"/>
      <c r="L8" s="670"/>
      <c r="M8" s="189" t="s">
        <v>19</v>
      </c>
      <c r="N8" s="189" t="s">
        <v>20</v>
      </c>
      <c r="O8" s="675"/>
    </row>
    <row r="9" spans="1:15" s="8" customFormat="1" ht="33" customHeight="1">
      <c r="A9" s="203" t="s">
        <v>21</v>
      </c>
      <c r="B9" s="203" t="s">
        <v>22</v>
      </c>
      <c r="C9" s="203">
        <v>1</v>
      </c>
      <c r="D9" s="204">
        <v>2</v>
      </c>
      <c r="E9" s="204">
        <v>3</v>
      </c>
      <c r="F9" s="204">
        <v>4</v>
      </c>
      <c r="G9" s="204">
        <v>5</v>
      </c>
      <c r="H9" s="203">
        <v>6</v>
      </c>
      <c r="I9" s="203">
        <v>7</v>
      </c>
      <c r="J9" s="203">
        <v>8</v>
      </c>
      <c r="K9" s="203" t="s">
        <v>109</v>
      </c>
      <c r="L9" s="203">
        <v>10</v>
      </c>
      <c r="M9" s="203">
        <v>11</v>
      </c>
      <c r="N9" s="203">
        <v>12</v>
      </c>
      <c r="O9" s="203">
        <v>13</v>
      </c>
    </row>
    <row r="10" spans="1:16" s="8" customFormat="1" ht="45" customHeight="1" hidden="1">
      <c r="A10" s="14"/>
      <c r="B10" s="14"/>
      <c r="C10" s="15"/>
      <c r="D10" s="16"/>
      <c r="E10" s="16"/>
      <c r="F10" s="16"/>
      <c r="G10" s="16"/>
      <c r="H10" s="15"/>
      <c r="I10" s="15"/>
      <c r="J10" s="15"/>
      <c r="K10" s="15"/>
      <c r="L10" s="15"/>
      <c r="M10" s="15"/>
      <c r="N10" s="15"/>
      <c r="O10" s="15"/>
      <c r="P10" s="84"/>
    </row>
    <row r="11" spans="1:18" s="7" customFormat="1" ht="24.75" customHeight="1">
      <c r="A11" s="17"/>
      <c r="B11" s="17" t="s">
        <v>86</v>
      </c>
      <c r="C11" s="18">
        <f aca="true" t="shared" si="0" ref="C11:N11">C12+C19</f>
        <v>452.87000000000006</v>
      </c>
      <c r="D11" s="18">
        <f t="shared" si="0"/>
        <v>5.9</v>
      </c>
      <c r="E11" s="18">
        <f t="shared" si="0"/>
        <v>57576</v>
      </c>
      <c r="F11" s="18">
        <f t="shared" si="0"/>
        <v>6.050000000000002</v>
      </c>
      <c r="G11" s="18">
        <f t="shared" si="0"/>
        <v>0</v>
      </c>
      <c r="H11" s="18">
        <f t="shared" si="0"/>
        <v>7</v>
      </c>
      <c r="I11" s="18">
        <f t="shared" si="0"/>
        <v>129</v>
      </c>
      <c r="J11" s="18">
        <f t="shared" si="0"/>
        <v>13.049999999999999</v>
      </c>
      <c r="K11" s="18">
        <f t="shared" si="0"/>
        <v>16.783</v>
      </c>
      <c r="L11" s="18">
        <f t="shared" si="0"/>
        <v>12627</v>
      </c>
      <c r="M11" s="18">
        <f t="shared" si="0"/>
        <v>8227</v>
      </c>
      <c r="N11" s="18">
        <f t="shared" si="0"/>
        <v>4400</v>
      </c>
      <c r="O11" s="18"/>
      <c r="P11" s="19">
        <v>5244</v>
      </c>
      <c r="Q11" s="20">
        <v>2783</v>
      </c>
      <c r="R11" s="40"/>
    </row>
    <row r="12" spans="1:18" s="7" customFormat="1" ht="24.75" customHeight="1">
      <c r="A12" s="68" t="s">
        <v>24</v>
      </c>
      <c r="B12" s="68" t="s">
        <v>25</v>
      </c>
      <c r="C12" s="66">
        <f aca="true" t="shared" si="1" ref="C12:N12">SUM(C13:C18)</f>
        <v>0</v>
      </c>
      <c r="D12" s="66">
        <f t="shared" si="1"/>
        <v>0</v>
      </c>
      <c r="E12" s="66">
        <f t="shared" si="1"/>
        <v>0</v>
      </c>
      <c r="F12" s="66">
        <f t="shared" si="1"/>
        <v>0</v>
      </c>
      <c r="G12" s="66">
        <f t="shared" si="1"/>
        <v>0</v>
      </c>
      <c r="H12" s="66">
        <f t="shared" si="1"/>
        <v>0</v>
      </c>
      <c r="I12" s="66">
        <f t="shared" si="1"/>
        <v>0</v>
      </c>
      <c r="J12" s="66">
        <f t="shared" si="1"/>
        <v>0</v>
      </c>
      <c r="K12" s="66">
        <f t="shared" si="1"/>
        <v>0</v>
      </c>
      <c r="L12" s="66">
        <f t="shared" si="1"/>
        <v>1750</v>
      </c>
      <c r="M12" s="66">
        <f>SUM(M13:M18)</f>
        <v>900</v>
      </c>
      <c r="N12" s="66">
        <f t="shared" si="1"/>
        <v>850</v>
      </c>
      <c r="O12" s="66"/>
      <c r="P12" s="19">
        <f>P11-M11</f>
        <v>-2983</v>
      </c>
      <c r="Q12" s="20">
        <f>Q11-N12</f>
        <v>1933</v>
      </c>
      <c r="R12" s="40"/>
    </row>
    <row r="13" spans="1:18" s="89" customFormat="1" ht="41.25" customHeight="1">
      <c r="A13" s="70">
        <v>1</v>
      </c>
      <c r="B13" s="70" t="s">
        <v>26</v>
      </c>
      <c r="C13" s="71"/>
      <c r="D13" s="78"/>
      <c r="E13" s="71"/>
      <c r="F13" s="78"/>
      <c r="G13" s="78"/>
      <c r="H13" s="78"/>
      <c r="I13" s="78"/>
      <c r="J13" s="78"/>
      <c r="K13" s="78"/>
      <c r="L13" s="71">
        <f aca="true" t="shared" si="2" ref="L13:L18">M13+N13</f>
        <v>500</v>
      </c>
      <c r="M13" s="44">
        <v>300</v>
      </c>
      <c r="N13" s="44">
        <v>200</v>
      </c>
      <c r="O13" s="85"/>
      <c r="P13" s="86"/>
      <c r="Q13" s="87"/>
      <c r="R13" s="88"/>
    </row>
    <row r="14" spans="1:18" s="89" customFormat="1" ht="36.75" customHeight="1">
      <c r="A14" s="70">
        <v>2</v>
      </c>
      <c r="B14" s="70" t="s">
        <v>27</v>
      </c>
      <c r="C14" s="71"/>
      <c r="D14" s="78"/>
      <c r="E14" s="71"/>
      <c r="F14" s="78"/>
      <c r="G14" s="78"/>
      <c r="H14" s="78"/>
      <c r="I14" s="78"/>
      <c r="J14" s="78"/>
      <c r="K14" s="78"/>
      <c r="L14" s="71">
        <f t="shared" si="2"/>
        <v>350</v>
      </c>
      <c r="M14" s="44">
        <v>200</v>
      </c>
      <c r="N14" s="44">
        <v>150</v>
      </c>
      <c r="O14" s="85"/>
      <c r="P14" s="86"/>
      <c r="Q14" s="87"/>
      <c r="R14" s="88"/>
    </row>
    <row r="15" spans="1:18" s="89" customFormat="1" ht="36.75" customHeight="1">
      <c r="A15" s="70">
        <v>3</v>
      </c>
      <c r="B15" s="70" t="s">
        <v>28</v>
      </c>
      <c r="C15" s="71"/>
      <c r="D15" s="78"/>
      <c r="E15" s="71"/>
      <c r="F15" s="78"/>
      <c r="G15" s="78"/>
      <c r="H15" s="78"/>
      <c r="I15" s="78"/>
      <c r="J15" s="78"/>
      <c r="K15" s="78"/>
      <c r="L15" s="71">
        <f t="shared" si="2"/>
        <v>350</v>
      </c>
      <c r="M15" s="44">
        <v>200</v>
      </c>
      <c r="N15" s="44">
        <v>150</v>
      </c>
      <c r="O15" s="85"/>
      <c r="P15" s="86"/>
      <c r="Q15" s="87"/>
      <c r="R15" s="88"/>
    </row>
    <row r="16" spans="1:18" s="89" customFormat="1" ht="30" customHeight="1">
      <c r="A16" s="70">
        <v>4</v>
      </c>
      <c r="B16" s="70" t="s">
        <v>29</v>
      </c>
      <c r="C16" s="71"/>
      <c r="D16" s="78"/>
      <c r="E16" s="71"/>
      <c r="F16" s="78"/>
      <c r="G16" s="78"/>
      <c r="H16" s="78"/>
      <c r="I16" s="78"/>
      <c r="J16" s="78"/>
      <c r="K16" s="78"/>
      <c r="L16" s="71">
        <f t="shared" si="2"/>
        <v>350</v>
      </c>
      <c r="M16" s="44">
        <v>200</v>
      </c>
      <c r="N16" s="44">
        <v>150</v>
      </c>
      <c r="O16" s="85"/>
      <c r="P16" s="86"/>
      <c r="Q16" s="87"/>
      <c r="R16" s="88"/>
    </row>
    <row r="17" spans="1:18" s="89" customFormat="1" ht="30" customHeight="1">
      <c r="A17" s="70">
        <v>5</v>
      </c>
      <c r="B17" s="70" t="s">
        <v>30</v>
      </c>
      <c r="C17" s="71"/>
      <c r="D17" s="78"/>
      <c r="E17" s="71"/>
      <c r="F17" s="78"/>
      <c r="G17" s="78"/>
      <c r="H17" s="78"/>
      <c r="I17" s="78"/>
      <c r="J17" s="78"/>
      <c r="K17" s="78"/>
      <c r="L17" s="71">
        <f t="shared" si="2"/>
        <v>100</v>
      </c>
      <c r="M17" s="44"/>
      <c r="N17" s="44">
        <v>100</v>
      </c>
      <c r="O17" s="85"/>
      <c r="P17" s="86"/>
      <c r="Q17" s="87"/>
      <c r="R17" s="88"/>
    </row>
    <row r="18" spans="1:18" s="89" customFormat="1" ht="30" customHeight="1">
      <c r="A18" s="70">
        <v>6</v>
      </c>
      <c r="B18" s="70" t="s">
        <v>31</v>
      </c>
      <c r="C18" s="71"/>
      <c r="D18" s="78"/>
      <c r="E18" s="71"/>
      <c r="F18" s="78"/>
      <c r="G18" s="78"/>
      <c r="H18" s="78"/>
      <c r="I18" s="78"/>
      <c r="J18" s="78"/>
      <c r="K18" s="78"/>
      <c r="L18" s="71">
        <f t="shared" si="2"/>
        <v>100</v>
      </c>
      <c r="M18" s="44"/>
      <c r="N18" s="44">
        <v>100</v>
      </c>
      <c r="O18" s="85"/>
      <c r="P18" s="86"/>
      <c r="Q18" s="87"/>
      <c r="R18" s="88"/>
    </row>
    <row r="19" spans="1:20" s="7" customFormat="1" ht="36.75" customHeight="1">
      <c r="A19" s="68" t="s">
        <v>34</v>
      </c>
      <c r="B19" s="68" t="s">
        <v>35</v>
      </c>
      <c r="C19" s="74">
        <f>SUM(C20:C29)</f>
        <v>452.87000000000006</v>
      </c>
      <c r="D19" s="69">
        <f>SUM(D20:D29)</f>
        <v>5.9</v>
      </c>
      <c r="E19" s="69">
        <f>SUM(E20:E29)</f>
        <v>57576</v>
      </c>
      <c r="F19" s="74">
        <f>SUM(F20:F29)</f>
        <v>6.050000000000002</v>
      </c>
      <c r="G19" s="74"/>
      <c r="H19" s="74">
        <f aca="true" t="shared" si="3" ref="H19:N19">SUM(H20:H29)</f>
        <v>7</v>
      </c>
      <c r="I19" s="74">
        <f t="shared" si="3"/>
        <v>129</v>
      </c>
      <c r="J19" s="74">
        <f t="shared" si="3"/>
        <v>13.049999999999999</v>
      </c>
      <c r="K19" s="74">
        <f t="shared" si="3"/>
        <v>16.783</v>
      </c>
      <c r="L19" s="69">
        <f t="shared" si="3"/>
        <v>10877</v>
      </c>
      <c r="M19" s="66">
        <f t="shared" si="3"/>
        <v>7327</v>
      </c>
      <c r="N19" s="66">
        <f t="shared" si="3"/>
        <v>3550</v>
      </c>
      <c r="O19" s="90"/>
      <c r="P19" s="188">
        <v>7327</v>
      </c>
      <c r="Q19" s="4">
        <v>3550</v>
      </c>
      <c r="R19" s="4">
        <v>16.783</v>
      </c>
      <c r="S19" s="201">
        <f>K19*P19/R19</f>
        <v>7327</v>
      </c>
      <c r="T19" s="202">
        <f>K19*Q19/R19</f>
        <v>3550</v>
      </c>
    </row>
    <row r="20" spans="1:20" s="92" customFormat="1" ht="21" customHeight="1">
      <c r="A20" s="22">
        <v>1</v>
      </c>
      <c r="B20" s="23" t="s">
        <v>36</v>
      </c>
      <c r="C20" s="29">
        <v>65.59</v>
      </c>
      <c r="D20" s="25">
        <v>0.7</v>
      </c>
      <c r="E20" s="41">
        <f>5655+535</f>
        <v>6190</v>
      </c>
      <c r="F20" s="42">
        <v>0.6000000000000001</v>
      </c>
      <c r="G20" s="42" t="s">
        <v>80</v>
      </c>
      <c r="H20" s="42">
        <v>1</v>
      </c>
      <c r="I20" s="27">
        <v>11</v>
      </c>
      <c r="J20" s="43">
        <v>1.15</v>
      </c>
      <c r="K20" s="43">
        <f aca="true" t="shared" si="4" ref="K20:K29">(D20+F20)*(0.12*H20+J20)</f>
        <v>1.651</v>
      </c>
      <c r="L20" s="27">
        <f aca="true" t="shared" si="5" ref="L20:L29">M20+N20</f>
        <v>1070</v>
      </c>
      <c r="M20" s="75">
        <v>721</v>
      </c>
      <c r="N20" s="76">
        <v>349</v>
      </c>
      <c r="O20" s="91"/>
      <c r="P20" s="188">
        <v>7327</v>
      </c>
      <c r="Q20" s="4">
        <v>3550</v>
      </c>
      <c r="R20" s="4">
        <v>16.783</v>
      </c>
      <c r="S20" s="201">
        <f aca="true" t="shared" si="6" ref="S20:S29">K20*P20/R20</f>
        <v>720.7815646785438</v>
      </c>
      <c r="T20" s="202">
        <f aca="true" t="shared" si="7" ref="T20:T29">K20*Q20/R20</f>
        <v>349.2254066615027</v>
      </c>
    </row>
    <row r="21" spans="1:20" s="92" customFormat="1" ht="21" customHeight="1">
      <c r="A21" s="22">
        <v>2</v>
      </c>
      <c r="B21" s="23" t="s">
        <v>37</v>
      </c>
      <c r="C21" s="29">
        <v>64.65</v>
      </c>
      <c r="D21" s="25">
        <v>0.7</v>
      </c>
      <c r="E21" s="41">
        <f>5259+986</f>
        <v>6245</v>
      </c>
      <c r="F21" s="42">
        <v>0.6000000000000001</v>
      </c>
      <c r="G21" s="42" t="s">
        <v>80</v>
      </c>
      <c r="H21" s="42">
        <v>1</v>
      </c>
      <c r="I21" s="27">
        <v>12</v>
      </c>
      <c r="J21" s="43">
        <v>1.15</v>
      </c>
      <c r="K21" s="43">
        <f t="shared" si="4"/>
        <v>1.651</v>
      </c>
      <c r="L21" s="27">
        <f t="shared" si="5"/>
        <v>1070</v>
      </c>
      <c r="M21" s="75">
        <v>721</v>
      </c>
      <c r="N21" s="76">
        <v>349</v>
      </c>
      <c r="O21" s="91"/>
      <c r="P21" s="188">
        <v>7327</v>
      </c>
      <c r="Q21" s="4">
        <v>3550</v>
      </c>
      <c r="R21" s="4">
        <v>16.783</v>
      </c>
      <c r="S21" s="201">
        <f t="shared" si="6"/>
        <v>720.7815646785438</v>
      </c>
      <c r="T21" s="202">
        <f t="shared" si="7"/>
        <v>349.2254066615027</v>
      </c>
    </row>
    <row r="22" spans="1:20" s="92" customFormat="1" ht="21" customHeight="1">
      <c r="A22" s="22">
        <v>3</v>
      </c>
      <c r="B22" s="23" t="s">
        <v>38</v>
      </c>
      <c r="C22" s="29">
        <v>61.8</v>
      </c>
      <c r="D22" s="25">
        <v>0.7</v>
      </c>
      <c r="E22" s="41">
        <f>5475+1841</f>
        <v>7316</v>
      </c>
      <c r="F22" s="42">
        <v>0.7</v>
      </c>
      <c r="G22" s="42" t="s">
        <v>80</v>
      </c>
      <c r="H22" s="42">
        <v>1</v>
      </c>
      <c r="I22" s="27">
        <v>12</v>
      </c>
      <c r="J22" s="43">
        <v>1.15</v>
      </c>
      <c r="K22" s="43">
        <f t="shared" si="4"/>
        <v>1.7779999999999998</v>
      </c>
      <c r="L22" s="27">
        <f t="shared" si="5"/>
        <v>1152</v>
      </c>
      <c r="M22" s="75">
        <v>776</v>
      </c>
      <c r="N22" s="76">
        <v>376</v>
      </c>
      <c r="O22" s="91"/>
      <c r="P22" s="188">
        <v>7327</v>
      </c>
      <c r="Q22" s="4">
        <v>3550</v>
      </c>
      <c r="R22" s="4">
        <v>16.783</v>
      </c>
      <c r="S22" s="201">
        <f t="shared" si="6"/>
        <v>776.2263004230471</v>
      </c>
      <c r="T22" s="202">
        <f t="shared" si="7"/>
        <v>376.0888994816182</v>
      </c>
    </row>
    <row r="23" spans="1:20" s="92" customFormat="1" ht="21" customHeight="1">
      <c r="A23" s="22">
        <v>4</v>
      </c>
      <c r="B23" s="23" t="s">
        <v>39</v>
      </c>
      <c r="C23" s="29">
        <v>57.63</v>
      </c>
      <c r="D23" s="25">
        <v>0.6000000000000001</v>
      </c>
      <c r="E23" s="41">
        <f>9485+1509</f>
        <v>10994</v>
      </c>
      <c r="F23" s="42">
        <v>0.9</v>
      </c>
      <c r="G23" s="42" t="s">
        <v>80</v>
      </c>
      <c r="H23" s="42">
        <v>1</v>
      </c>
      <c r="I23" s="27">
        <v>19</v>
      </c>
      <c r="J23" s="43">
        <v>1.5</v>
      </c>
      <c r="K23" s="43">
        <f t="shared" si="4"/>
        <v>2.43</v>
      </c>
      <c r="L23" s="27">
        <f t="shared" si="5"/>
        <v>1575</v>
      </c>
      <c r="M23" s="75">
        <v>1061</v>
      </c>
      <c r="N23" s="76">
        <v>514</v>
      </c>
      <c r="O23" s="91"/>
      <c r="P23" s="188">
        <v>7327</v>
      </c>
      <c r="Q23" s="4">
        <v>3550</v>
      </c>
      <c r="R23" s="4">
        <v>16.783</v>
      </c>
      <c r="S23" s="201">
        <f t="shared" si="6"/>
        <v>1060.8717154263243</v>
      </c>
      <c r="T23" s="202">
        <f t="shared" si="7"/>
        <v>514.0022641959125</v>
      </c>
    </row>
    <row r="24" spans="1:20" s="92" customFormat="1" ht="21" customHeight="1">
      <c r="A24" s="22">
        <v>5</v>
      </c>
      <c r="B24" s="23" t="s">
        <v>40</v>
      </c>
      <c r="C24" s="29">
        <v>58.62</v>
      </c>
      <c r="D24" s="25">
        <v>0.6000000000000001</v>
      </c>
      <c r="E24" s="41">
        <f>7274+741</f>
        <v>8015</v>
      </c>
      <c r="F24" s="42">
        <v>0.8</v>
      </c>
      <c r="G24" s="42" t="s">
        <v>80</v>
      </c>
      <c r="H24" s="42">
        <v>1</v>
      </c>
      <c r="I24" s="27">
        <v>14</v>
      </c>
      <c r="J24" s="43">
        <v>1.3</v>
      </c>
      <c r="K24" s="43">
        <f t="shared" si="4"/>
        <v>1.988</v>
      </c>
      <c r="L24" s="27">
        <f t="shared" si="5"/>
        <v>1289</v>
      </c>
      <c r="M24" s="75">
        <v>868</v>
      </c>
      <c r="N24" s="76">
        <v>421</v>
      </c>
      <c r="O24" s="91"/>
      <c r="P24" s="188">
        <v>7327</v>
      </c>
      <c r="Q24" s="4">
        <v>3550</v>
      </c>
      <c r="R24" s="4">
        <v>16.783</v>
      </c>
      <c r="S24" s="201">
        <f t="shared" si="6"/>
        <v>867.9065721265565</v>
      </c>
      <c r="T24" s="202">
        <f t="shared" si="7"/>
        <v>420.5088482392897</v>
      </c>
    </row>
    <row r="25" spans="1:20" ht="21" customHeight="1">
      <c r="A25" s="22">
        <v>6</v>
      </c>
      <c r="B25" s="23" t="s">
        <v>41</v>
      </c>
      <c r="C25" s="29">
        <v>50.11</v>
      </c>
      <c r="D25" s="25">
        <v>0.6000000000000001</v>
      </c>
      <c r="E25" s="41">
        <f>4243+1343</f>
        <v>5586</v>
      </c>
      <c r="F25" s="25">
        <v>0.5</v>
      </c>
      <c r="G25" s="42" t="s">
        <v>80</v>
      </c>
      <c r="H25" s="42">
        <v>1</v>
      </c>
      <c r="I25" s="24">
        <v>10</v>
      </c>
      <c r="J25" s="29">
        <v>1.15</v>
      </c>
      <c r="K25" s="43">
        <f t="shared" si="4"/>
        <v>1.3970000000000002</v>
      </c>
      <c r="L25" s="27">
        <f t="shared" si="5"/>
        <v>905</v>
      </c>
      <c r="M25" s="75">
        <v>610</v>
      </c>
      <c r="N25" s="76">
        <v>295</v>
      </c>
      <c r="O25" s="91"/>
      <c r="P25" s="188">
        <v>7327</v>
      </c>
      <c r="Q25" s="4">
        <v>3550</v>
      </c>
      <c r="R25" s="4">
        <v>16.783</v>
      </c>
      <c r="S25" s="201">
        <f t="shared" si="6"/>
        <v>609.892093189537</v>
      </c>
      <c r="T25" s="202">
        <f t="shared" si="7"/>
        <v>295.49842102127155</v>
      </c>
    </row>
    <row r="26" spans="1:20" ht="21" customHeight="1">
      <c r="A26" s="22">
        <v>7</v>
      </c>
      <c r="B26" s="23" t="s">
        <v>42</v>
      </c>
      <c r="C26" s="29">
        <v>60.17</v>
      </c>
      <c r="D26" s="25">
        <v>0.7</v>
      </c>
      <c r="E26" s="41">
        <f>6221+559</f>
        <v>6780</v>
      </c>
      <c r="F26" s="42">
        <v>0.7</v>
      </c>
      <c r="G26" s="42" t="s">
        <v>80</v>
      </c>
      <c r="H26" s="42">
        <v>1</v>
      </c>
      <c r="I26" s="27">
        <v>15</v>
      </c>
      <c r="J26" s="43">
        <v>1.5</v>
      </c>
      <c r="K26" s="43">
        <f t="shared" si="4"/>
        <v>2.268</v>
      </c>
      <c r="L26" s="27">
        <f t="shared" si="5"/>
        <v>1470</v>
      </c>
      <c r="M26" s="75">
        <v>990</v>
      </c>
      <c r="N26" s="76">
        <v>480</v>
      </c>
      <c r="O26" s="91"/>
      <c r="P26" s="188">
        <v>7327</v>
      </c>
      <c r="Q26" s="4">
        <v>3550</v>
      </c>
      <c r="R26" s="4">
        <v>16.783</v>
      </c>
      <c r="S26" s="201">
        <f t="shared" si="6"/>
        <v>990.1469343979024</v>
      </c>
      <c r="T26" s="202">
        <f t="shared" si="7"/>
        <v>479.73544658285164</v>
      </c>
    </row>
    <row r="27" spans="1:20" ht="21" customHeight="1">
      <c r="A27" s="22">
        <v>8</v>
      </c>
      <c r="B27" s="23" t="s">
        <v>43</v>
      </c>
      <c r="C27" s="46">
        <f>11.9+9.65</f>
        <v>21.55</v>
      </c>
      <c r="D27" s="47">
        <v>0.5</v>
      </c>
      <c r="E27" s="48">
        <f>2997+2429</f>
        <v>5426</v>
      </c>
      <c r="F27" s="49">
        <v>0.45</v>
      </c>
      <c r="G27" s="49"/>
      <c r="H27" s="49"/>
      <c r="I27" s="50">
        <v>21</v>
      </c>
      <c r="J27" s="43">
        <v>2</v>
      </c>
      <c r="K27" s="43">
        <f t="shared" si="4"/>
        <v>1.9</v>
      </c>
      <c r="L27" s="27">
        <f t="shared" si="5"/>
        <v>1231</v>
      </c>
      <c r="M27" s="76">
        <v>829</v>
      </c>
      <c r="N27" s="76">
        <v>402</v>
      </c>
      <c r="O27" s="28"/>
      <c r="P27" s="188">
        <v>7327</v>
      </c>
      <c r="Q27" s="4">
        <v>3550</v>
      </c>
      <c r="R27" s="4">
        <v>16.783</v>
      </c>
      <c r="S27" s="201">
        <f t="shared" si="6"/>
        <v>829.4881725555621</v>
      </c>
      <c r="T27" s="202">
        <f t="shared" si="7"/>
        <v>401.8947744741703</v>
      </c>
    </row>
    <row r="28" spans="1:20" s="60" customFormat="1" ht="21" customHeight="1">
      <c r="A28" s="22">
        <v>9</v>
      </c>
      <c r="B28" s="23" t="s">
        <v>44</v>
      </c>
      <c r="C28" s="46">
        <f>8.06+1.17</f>
        <v>9.23</v>
      </c>
      <c r="D28" s="47">
        <v>0.4</v>
      </c>
      <c r="E28" s="48">
        <f>249+36</f>
        <v>285</v>
      </c>
      <c r="F28" s="49">
        <v>0.4</v>
      </c>
      <c r="G28" s="49"/>
      <c r="H28" s="49"/>
      <c r="I28" s="50">
        <v>3</v>
      </c>
      <c r="J28" s="26">
        <v>1</v>
      </c>
      <c r="K28" s="43">
        <f t="shared" si="4"/>
        <v>0.8</v>
      </c>
      <c r="L28" s="27">
        <f t="shared" si="5"/>
        <v>518</v>
      </c>
      <c r="M28" s="79">
        <v>349</v>
      </c>
      <c r="N28" s="79">
        <v>169</v>
      </c>
      <c r="O28" s="93"/>
      <c r="P28" s="188">
        <v>7327</v>
      </c>
      <c r="Q28" s="4">
        <v>3550</v>
      </c>
      <c r="R28" s="4">
        <v>16.783</v>
      </c>
      <c r="S28" s="201">
        <f t="shared" si="6"/>
        <v>349.2581779181314</v>
      </c>
      <c r="T28" s="202">
        <f t="shared" si="7"/>
        <v>169.21885241017696</v>
      </c>
    </row>
    <row r="29" spans="1:20" s="60" customFormat="1" ht="21" customHeight="1">
      <c r="A29" s="45">
        <v>10</v>
      </c>
      <c r="B29" s="215" t="s">
        <v>45</v>
      </c>
      <c r="C29" s="46">
        <f>1.79+1.73</f>
        <v>3.52</v>
      </c>
      <c r="D29" s="47">
        <v>0.4</v>
      </c>
      <c r="E29" s="48">
        <f>375+364</f>
        <v>739</v>
      </c>
      <c r="F29" s="49">
        <v>0.4</v>
      </c>
      <c r="G29" s="49"/>
      <c r="H29" s="49"/>
      <c r="I29" s="50">
        <v>12</v>
      </c>
      <c r="J29" s="26">
        <v>1.15</v>
      </c>
      <c r="K29" s="43">
        <f t="shared" si="4"/>
        <v>0.9199999999999999</v>
      </c>
      <c r="L29" s="27">
        <f t="shared" si="5"/>
        <v>597</v>
      </c>
      <c r="M29" s="79">
        <v>402</v>
      </c>
      <c r="N29" s="79">
        <v>195</v>
      </c>
      <c r="O29" s="93"/>
      <c r="P29" s="188">
        <v>7327</v>
      </c>
      <c r="Q29" s="4">
        <v>3550</v>
      </c>
      <c r="R29" s="4">
        <v>16.783</v>
      </c>
      <c r="S29" s="201">
        <f t="shared" si="6"/>
        <v>401.6469046058511</v>
      </c>
      <c r="T29" s="202">
        <f t="shared" si="7"/>
        <v>194.60168027170346</v>
      </c>
    </row>
    <row r="30" spans="1:15" s="60" customFormat="1" ht="34.5" customHeight="1">
      <c r="A30" s="51"/>
      <c r="B30" s="52"/>
      <c r="C30" s="53"/>
      <c r="D30" s="54"/>
      <c r="E30" s="55"/>
      <c r="F30" s="56"/>
      <c r="G30" s="54"/>
      <c r="H30" s="57"/>
      <c r="I30" s="57"/>
      <c r="J30" s="57"/>
      <c r="K30" s="57"/>
      <c r="L30" s="58"/>
      <c r="M30" s="80"/>
      <c r="N30" s="80"/>
      <c r="O30" s="59"/>
    </row>
    <row r="32" spans="1:15" ht="37.5" customHeight="1">
      <c r="A32" s="669" t="s">
        <v>87</v>
      </c>
      <c r="B32" s="669"/>
      <c r="C32" s="669"/>
      <c r="D32" s="669"/>
      <c r="E32" s="669"/>
      <c r="F32" s="669"/>
      <c r="G32" s="669"/>
      <c r="H32" s="669"/>
      <c r="I32" s="669"/>
      <c r="J32" s="669"/>
      <c r="K32" s="669"/>
      <c r="L32" s="669"/>
      <c r="M32" s="669"/>
      <c r="N32" s="669"/>
      <c r="O32" s="669"/>
    </row>
  </sheetData>
  <sheetProtection selectLockedCells="1" selectUnlockedCells="1"/>
  <mergeCells count="17">
    <mergeCell ref="L1:O1"/>
    <mergeCell ref="A2:O2"/>
    <mergeCell ref="A3:O3"/>
    <mergeCell ref="A4:O4"/>
    <mergeCell ref="A6:A8"/>
    <mergeCell ref="B6:B8"/>
    <mergeCell ref="C6:K6"/>
    <mergeCell ref="L6:N6"/>
    <mergeCell ref="O6:O8"/>
    <mergeCell ref="C7:D7"/>
    <mergeCell ref="A32:O32"/>
    <mergeCell ref="E7:F7"/>
    <mergeCell ref="G7:H7"/>
    <mergeCell ref="I7:J7"/>
    <mergeCell ref="K7:K8"/>
    <mergeCell ref="L7:L8"/>
    <mergeCell ref="M7:N7"/>
  </mergeCells>
  <printOptions horizontalCentered="1"/>
  <pageMargins left="0" right="0" top="0.5902777777777778" bottom="0.5902777777777778" header="0.5118055555555555" footer="0.5118055555555555"/>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AJ34"/>
  <sheetViews>
    <sheetView view="pageBreakPreview" zoomScale="85" zoomScaleSheetLayoutView="85" zoomScalePageLayoutView="0" workbookViewId="0" topLeftCell="A1">
      <selection activeCell="AC13" sqref="AC13"/>
    </sheetView>
  </sheetViews>
  <sheetFormatPr defaultColWidth="8.8515625" defaultRowHeight="12.75"/>
  <cols>
    <col min="1" max="1" width="2.8515625" style="500" customWidth="1"/>
    <col min="2" max="2" width="19.00390625" style="498" customWidth="1"/>
    <col min="3" max="3" width="7.140625" style="498" hidden="1" customWidth="1"/>
    <col min="4" max="4" width="3.7109375" style="498" hidden="1" customWidth="1"/>
    <col min="5" max="5" width="7.140625" style="498" hidden="1" customWidth="1"/>
    <col min="6" max="6" width="3.7109375" style="498" hidden="1" customWidth="1"/>
    <col min="7" max="7" width="7.140625" style="523" hidden="1" customWidth="1"/>
    <col min="8" max="8" width="4.00390625" style="523" hidden="1" customWidth="1"/>
    <col min="9" max="9" width="7.140625" style="498" hidden="1" customWidth="1"/>
    <col min="10" max="10" width="3.8515625" style="498" hidden="1" customWidth="1"/>
    <col min="11" max="11" width="7.140625" style="523" hidden="1" customWidth="1"/>
    <col min="12" max="12" width="4.7109375" style="498" hidden="1" customWidth="1"/>
    <col min="13" max="13" width="10.00390625" style="579" customWidth="1"/>
    <col min="14" max="14" width="6.140625" style="498" customWidth="1"/>
    <col min="15" max="15" width="8.00390625" style="498" customWidth="1"/>
    <col min="16" max="16" width="7.421875" style="504" bestFit="1" customWidth="1"/>
    <col min="17" max="17" width="7.140625" style="504" bestFit="1" customWidth="1"/>
    <col min="18" max="18" width="4.7109375" style="504" customWidth="1"/>
    <col min="19" max="19" width="9.421875" style="504" customWidth="1"/>
    <col min="20" max="20" width="4.140625" style="506" customWidth="1"/>
    <col min="21" max="21" width="7.57421875" style="506" customWidth="1"/>
    <col min="22" max="22" width="4.28125" style="506" customWidth="1"/>
    <col min="23" max="23" width="7.140625" style="507" bestFit="1" customWidth="1"/>
    <col min="24" max="24" width="3.8515625" style="506" customWidth="1"/>
    <col min="25" max="25" width="7.140625" style="506" bestFit="1" customWidth="1"/>
    <col min="26" max="26" width="3.57421875" style="498" customWidth="1"/>
    <col min="27" max="27" width="7.140625" style="498" bestFit="1" customWidth="1"/>
    <col min="28" max="28" width="3.7109375" style="498" customWidth="1"/>
    <col min="29" max="29" width="7.140625" style="498" bestFit="1" customWidth="1"/>
    <col min="30" max="30" width="3.7109375" style="498" customWidth="1"/>
    <col min="31" max="31" width="7.7109375" style="498" customWidth="1"/>
    <col min="32" max="32" width="4.00390625" style="498" customWidth="1"/>
    <col min="33" max="33" width="9.57421875" style="498" customWidth="1"/>
    <col min="34" max="34" width="8.7109375" style="498" customWidth="1"/>
    <col min="35" max="35" width="14.28125" style="498" customWidth="1"/>
    <col min="36" max="36" width="9.421875" style="498" bestFit="1" customWidth="1"/>
    <col min="37" max="16384" width="8.8515625" style="498" customWidth="1"/>
  </cols>
  <sheetData>
    <row r="1" spans="1:32" ht="14.25">
      <c r="A1" s="676" t="s">
        <v>323</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row>
    <row r="2" spans="1:32" s="499" customFormat="1" ht="14.25">
      <c r="A2" s="677" t="s">
        <v>324</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row>
    <row r="3" spans="2:32" ht="12" customHeight="1">
      <c r="B3" s="501"/>
      <c r="C3" s="501"/>
      <c r="D3" s="501"/>
      <c r="E3" s="501"/>
      <c r="F3" s="501"/>
      <c r="G3" s="502"/>
      <c r="H3" s="502"/>
      <c r="I3" s="501"/>
      <c r="J3" s="501"/>
      <c r="K3" s="502"/>
      <c r="L3" s="678"/>
      <c r="M3" s="678"/>
      <c r="N3" s="678"/>
      <c r="O3" s="503"/>
      <c r="S3" s="505"/>
      <c r="AB3" s="508"/>
      <c r="AD3" s="509" t="s">
        <v>325</v>
      </c>
      <c r="AE3" s="510"/>
      <c r="AF3" s="510"/>
    </row>
    <row r="4" spans="1:32" ht="12.75">
      <c r="A4" s="679" t="s">
        <v>150</v>
      </c>
      <c r="B4" s="680" t="s">
        <v>326</v>
      </c>
      <c r="C4" s="680" t="s">
        <v>327</v>
      </c>
      <c r="D4" s="680"/>
      <c r="E4" s="680"/>
      <c r="F4" s="680"/>
      <c r="G4" s="680"/>
      <c r="H4" s="680"/>
      <c r="I4" s="680"/>
      <c r="J4" s="680"/>
      <c r="K4" s="680"/>
      <c r="L4" s="680"/>
      <c r="M4" s="680" t="s">
        <v>328</v>
      </c>
      <c r="N4" s="680"/>
      <c r="O4" s="680"/>
      <c r="P4" s="680"/>
      <c r="Q4" s="680"/>
      <c r="R4" s="680"/>
      <c r="S4" s="680"/>
      <c r="T4" s="680"/>
      <c r="U4" s="680"/>
      <c r="V4" s="680"/>
      <c r="W4" s="680" t="s">
        <v>329</v>
      </c>
      <c r="X4" s="680"/>
      <c r="Y4" s="680"/>
      <c r="Z4" s="680"/>
      <c r="AA4" s="680"/>
      <c r="AB4" s="680"/>
      <c r="AC4" s="680"/>
      <c r="AD4" s="680"/>
      <c r="AE4" s="680"/>
      <c r="AF4" s="680"/>
    </row>
    <row r="5" spans="1:32" ht="12.75">
      <c r="A5" s="679"/>
      <c r="B5" s="680"/>
      <c r="C5" s="680" t="s">
        <v>330</v>
      </c>
      <c r="D5" s="680"/>
      <c r="E5" s="680"/>
      <c r="F5" s="680"/>
      <c r="G5" s="680" t="s">
        <v>331</v>
      </c>
      <c r="H5" s="680"/>
      <c r="I5" s="680"/>
      <c r="J5" s="680"/>
      <c r="K5" s="682" t="s">
        <v>332</v>
      </c>
      <c r="L5" s="682"/>
      <c r="M5" s="680" t="s">
        <v>330</v>
      </c>
      <c r="N5" s="680"/>
      <c r="O5" s="680"/>
      <c r="P5" s="680"/>
      <c r="Q5" s="680" t="s">
        <v>331</v>
      </c>
      <c r="R5" s="680"/>
      <c r="S5" s="680"/>
      <c r="T5" s="680"/>
      <c r="U5" s="682" t="s">
        <v>332</v>
      </c>
      <c r="V5" s="682"/>
      <c r="W5" s="680" t="s">
        <v>330</v>
      </c>
      <c r="X5" s="680"/>
      <c r="Y5" s="680"/>
      <c r="Z5" s="680"/>
      <c r="AA5" s="680" t="s">
        <v>331</v>
      </c>
      <c r="AB5" s="680"/>
      <c r="AC5" s="680"/>
      <c r="AD5" s="680"/>
      <c r="AE5" s="682" t="s">
        <v>332</v>
      </c>
      <c r="AF5" s="682"/>
    </row>
    <row r="6" spans="1:32" ht="12.75">
      <c r="A6" s="679"/>
      <c r="B6" s="680"/>
      <c r="C6" s="683" t="s">
        <v>333</v>
      </c>
      <c r="D6" s="683"/>
      <c r="E6" s="683" t="s">
        <v>334</v>
      </c>
      <c r="F6" s="683"/>
      <c r="G6" s="683" t="s">
        <v>333</v>
      </c>
      <c r="H6" s="683"/>
      <c r="I6" s="683" t="s">
        <v>334</v>
      </c>
      <c r="J6" s="683"/>
      <c r="K6" s="511"/>
      <c r="L6" s="511"/>
      <c r="M6" s="683" t="s">
        <v>333</v>
      </c>
      <c r="N6" s="683"/>
      <c r="O6" s="683" t="s">
        <v>334</v>
      </c>
      <c r="P6" s="683"/>
      <c r="Q6" s="683" t="s">
        <v>333</v>
      </c>
      <c r="R6" s="683"/>
      <c r="S6" s="683" t="s">
        <v>334</v>
      </c>
      <c r="T6" s="683"/>
      <c r="U6" s="511"/>
      <c r="V6" s="511"/>
      <c r="W6" s="683" t="s">
        <v>333</v>
      </c>
      <c r="X6" s="683"/>
      <c r="Y6" s="683" t="s">
        <v>334</v>
      </c>
      <c r="Z6" s="683"/>
      <c r="AA6" s="683" t="s">
        <v>333</v>
      </c>
      <c r="AB6" s="683"/>
      <c r="AC6" s="683" t="s">
        <v>334</v>
      </c>
      <c r="AD6" s="683"/>
      <c r="AE6" s="511"/>
      <c r="AF6" s="511"/>
    </row>
    <row r="7" spans="1:32" ht="12.75">
      <c r="A7" s="679"/>
      <c r="B7" s="681"/>
      <c r="C7" s="512" t="s">
        <v>335</v>
      </c>
      <c r="D7" s="512" t="s">
        <v>336</v>
      </c>
      <c r="E7" s="512" t="s">
        <v>335</v>
      </c>
      <c r="F7" s="512" t="s">
        <v>336</v>
      </c>
      <c r="G7" s="512" t="s">
        <v>335</v>
      </c>
      <c r="H7" s="512" t="s">
        <v>336</v>
      </c>
      <c r="I7" s="512" t="s">
        <v>335</v>
      </c>
      <c r="J7" s="512" t="s">
        <v>336</v>
      </c>
      <c r="K7" s="512" t="s">
        <v>335</v>
      </c>
      <c r="L7" s="512" t="s">
        <v>336</v>
      </c>
      <c r="M7" s="513" t="s">
        <v>335</v>
      </c>
      <c r="N7" s="512" t="s">
        <v>336</v>
      </c>
      <c r="O7" s="512" t="s">
        <v>335</v>
      </c>
      <c r="P7" s="512" t="s">
        <v>336</v>
      </c>
      <c r="Q7" s="512" t="s">
        <v>335</v>
      </c>
      <c r="R7" s="512" t="s">
        <v>336</v>
      </c>
      <c r="S7" s="512" t="s">
        <v>335</v>
      </c>
      <c r="T7" s="512" t="s">
        <v>336</v>
      </c>
      <c r="U7" s="512" t="s">
        <v>335</v>
      </c>
      <c r="V7" s="512" t="s">
        <v>336</v>
      </c>
      <c r="W7" s="513" t="s">
        <v>335</v>
      </c>
      <c r="X7" s="512" t="s">
        <v>336</v>
      </c>
      <c r="Y7" s="512" t="s">
        <v>335</v>
      </c>
      <c r="Z7" s="512" t="s">
        <v>336</v>
      </c>
      <c r="AA7" s="512" t="s">
        <v>335</v>
      </c>
      <c r="AB7" s="512" t="s">
        <v>336</v>
      </c>
      <c r="AC7" s="512" t="s">
        <v>335</v>
      </c>
      <c r="AD7" s="512" t="s">
        <v>336</v>
      </c>
      <c r="AE7" s="512" t="s">
        <v>335</v>
      </c>
      <c r="AF7" s="512" t="s">
        <v>336</v>
      </c>
    </row>
    <row r="8" spans="1:32" s="523" customFormat="1" ht="15">
      <c r="A8" s="514"/>
      <c r="B8" s="515" t="s">
        <v>337</v>
      </c>
      <c r="C8" s="516"/>
      <c r="D8" s="516"/>
      <c r="E8" s="516"/>
      <c r="F8" s="517"/>
      <c r="G8" s="516"/>
      <c r="H8" s="517"/>
      <c r="I8" s="516"/>
      <c r="J8" s="517"/>
      <c r="K8" s="516"/>
      <c r="L8" s="517"/>
      <c r="M8" s="518">
        <f>M9</f>
        <v>32.041741</v>
      </c>
      <c r="N8" s="519">
        <f>M8/'[1]Phu luc 5-Phan bo von'!M8*100</f>
        <v>55.54220215292344</v>
      </c>
      <c r="O8" s="520">
        <f>O9+O18+O19+O22+O26+O27+O30</f>
        <v>3.8756250000000003</v>
      </c>
      <c r="P8" s="521"/>
      <c r="Q8" s="521"/>
      <c r="R8" s="521"/>
      <c r="S8" s="522">
        <f>S9+S18+S19+S22+S26+S27+S30</f>
        <v>0.044759999999999994</v>
      </c>
      <c r="T8" s="521"/>
      <c r="U8" s="521"/>
      <c r="V8" s="521"/>
      <c r="W8" s="521"/>
      <c r="X8" s="521"/>
      <c r="Y8" s="521"/>
      <c r="Z8" s="521"/>
      <c r="AA8" s="521"/>
      <c r="AB8" s="521"/>
      <c r="AC8" s="521"/>
      <c r="AD8" s="521"/>
      <c r="AE8" s="521"/>
      <c r="AF8" s="521"/>
    </row>
    <row r="9" spans="1:32" s="523" customFormat="1" ht="60">
      <c r="A9" s="512" t="s">
        <v>24</v>
      </c>
      <c r="B9" s="524" t="s">
        <v>183</v>
      </c>
      <c r="C9" s="516"/>
      <c r="D9" s="517"/>
      <c r="E9" s="516"/>
      <c r="F9" s="517"/>
      <c r="G9" s="516"/>
      <c r="H9" s="517"/>
      <c r="I9" s="516"/>
      <c r="J9" s="517"/>
      <c r="K9" s="516"/>
      <c r="L9" s="517"/>
      <c r="M9" s="518">
        <f>M13</f>
        <v>32.041741</v>
      </c>
      <c r="N9" s="519">
        <f>M9/'[1]Phu luc 5-Phan bo von'!M9*100</f>
        <v>55.54220215292344</v>
      </c>
      <c r="O9" s="521">
        <f>O10</f>
        <v>1.972</v>
      </c>
      <c r="P9" s="525">
        <f>O9/'[1]Phu luc 5-Phan bo von'!O9*100</f>
        <v>100</v>
      </c>
      <c r="Q9" s="521"/>
      <c r="R9" s="521"/>
      <c r="S9" s="522">
        <f>S10</f>
        <v>0.044759999999999994</v>
      </c>
      <c r="T9" s="521"/>
      <c r="U9" s="521"/>
      <c r="V9" s="521"/>
      <c r="W9" s="521"/>
      <c r="X9" s="521"/>
      <c r="Y9" s="521"/>
      <c r="Z9" s="521"/>
      <c r="AA9" s="521"/>
      <c r="AB9" s="521"/>
      <c r="AC9" s="521"/>
      <c r="AD9" s="521"/>
      <c r="AE9" s="521"/>
      <c r="AF9" s="521"/>
    </row>
    <row r="10" spans="1:32" ht="65.25" customHeight="1">
      <c r="A10" s="526">
        <v>1</v>
      </c>
      <c r="B10" s="527" t="s">
        <v>338</v>
      </c>
      <c r="C10" s="528"/>
      <c r="D10" s="529"/>
      <c r="E10" s="528"/>
      <c r="F10" s="529"/>
      <c r="G10" s="528"/>
      <c r="H10" s="529"/>
      <c r="I10" s="528"/>
      <c r="J10" s="529"/>
      <c r="K10" s="528"/>
      <c r="L10" s="529"/>
      <c r="M10" s="530"/>
      <c r="N10" s="519"/>
      <c r="O10" s="531">
        <f>O11+O12</f>
        <v>1.972</v>
      </c>
      <c r="P10" s="532">
        <f>O10/'[1]Phu luc 5-Phan bo von'!O10*100</f>
        <v>100</v>
      </c>
      <c r="Q10" s="531"/>
      <c r="R10" s="531"/>
      <c r="S10" s="533">
        <f>S11+S12</f>
        <v>0.044759999999999994</v>
      </c>
      <c r="T10" s="531"/>
      <c r="U10" s="531"/>
      <c r="V10" s="531"/>
      <c r="W10" s="531"/>
      <c r="X10" s="531"/>
      <c r="Y10" s="531"/>
      <c r="Z10" s="531"/>
      <c r="AA10" s="531"/>
      <c r="AB10" s="531"/>
      <c r="AC10" s="531"/>
      <c r="AD10" s="531"/>
      <c r="AE10" s="531"/>
      <c r="AF10" s="531"/>
    </row>
    <row r="11" spans="1:32" ht="54.75" customHeight="1">
      <c r="A11" s="526" t="s">
        <v>339</v>
      </c>
      <c r="B11" s="527" t="s">
        <v>340</v>
      </c>
      <c r="C11" s="528"/>
      <c r="D11" s="529"/>
      <c r="E11" s="528"/>
      <c r="F11" s="529"/>
      <c r="G11" s="528"/>
      <c r="H11" s="529"/>
      <c r="I11" s="528"/>
      <c r="J11" s="529"/>
      <c r="K11" s="528"/>
      <c r="L11" s="529"/>
      <c r="M11" s="530"/>
      <c r="N11" s="519"/>
      <c r="O11" s="529">
        <v>1</v>
      </c>
      <c r="P11" s="532">
        <f>O11/'[1]Phu luc 5-Phan bo von'!O11*100</f>
        <v>100</v>
      </c>
      <c r="Q11" s="531"/>
      <c r="R11" s="531"/>
      <c r="S11" s="533">
        <v>0.025809</v>
      </c>
      <c r="T11" s="531"/>
      <c r="U11" s="531"/>
      <c r="V11" s="531"/>
      <c r="W11" s="531"/>
      <c r="X11" s="531"/>
      <c r="Y11" s="531"/>
      <c r="Z11" s="531"/>
      <c r="AA11" s="531"/>
      <c r="AB11" s="531"/>
      <c r="AC11" s="531"/>
      <c r="AD11" s="531"/>
      <c r="AE11" s="531"/>
      <c r="AF11" s="531"/>
    </row>
    <row r="12" spans="1:34" ht="39" customHeight="1">
      <c r="A12" s="526" t="s">
        <v>341</v>
      </c>
      <c r="B12" s="527" t="s">
        <v>342</v>
      </c>
      <c r="C12" s="528"/>
      <c r="D12" s="529"/>
      <c r="E12" s="528"/>
      <c r="F12" s="529"/>
      <c r="G12" s="528"/>
      <c r="H12" s="529"/>
      <c r="I12" s="528"/>
      <c r="J12" s="529"/>
      <c r="K12" s="528"/>
      <c r="L12" s="529"/>
      <c r="M12" s="530"/>
      <c r="N12" s="519"/>
      <c r="O12" s="531">
        <v>0.972</v>
      </c>
      <c r="P12" s="532">
        <f>O12/'[1]Phu luc 5-Phan bo von'!O12*100</f>
        <v>100</v>
      </c>
      <c r="Q12" s="531"/>
      <c r="R12" s="531"/>
      <c r="S12" s="533">
        <v>0.018951</v>
      </c>
      <c r="T12" s="531"/>
      <c r="U12" s="531"/>
      <c r="V12" s="531"/>
      <c r="W12" s="531"/>
      <c r="X12" s="531"/>
      <c r="Y12" s="531"/>
      <c r="Z12" s="531"/>
      <c r="AA12" s="531"/>
      <c r="AB12" s="531"/>
      <c r="AC12" s="531"/>
      <c r="AD12" s="531"/>
      <c r="AE12" s="531"/>
      <c r="AF12" s="531"/>
      <c r="AG12" s="534"/>
      <c r="AH12" s="535"/>
    </row>
    <row r="13" spans="1:32" ht="72">
      <c r="A13" s="526">
        <v>2</v>
      </c>
      <c r="B13" s="527" t="s">
        <v>343</v>
      </c>
      <c r="C13" s="528"/>
      <c r="D13" s="529"/>
      <c r="E13" s="528"/>
      <c r="F13" s="529"/>
      <c r="G13" s="528"/>
      <c r="H13" s="529"/>
      <c r="I13" s="528"/>
      <c r="J13" s="529"/>
      <c r="K13" s="528"/>
      <c r="L13" s="529"/>
      <c r="M13" s="536">
        <f>SUM(M14:M16)</f>
        <v>32.041741</v>
      </c>
      <c r="N13" s="537">
        <f>M13/'[1]Phu luc 5-Phan bo von'!M13*100</f>
        <v>55.54220215292344</v>
      </c>
      <c r="O13" s="531"/>
      <c r="P13" s="519"/>
      <c r="Q13" s="531"/>
      <c r="R13" s="531"/>
      <c r="S13" s="531"/>
      <c r="T13" s="531"/>
      <c r="U13" s="531"/>
      <c r="V13" s="531"/>
      <c r="W13" s="531"/>
      <c r="X13" s="531"/>
      <c r="Y13" s="531"/>
      <c r="Z13" s="531"/>
      <c r="AA13" s="531"/>
      <c r="AB13" s="531"/>
      <c r="AC13" s="531"/>
      <c r="AD13" s="531"/>
      <c r="AE13" s="531"/>
      <c r="AF13" s="531"/>
    </row>
    <row r="14" spans="1:36" ht="24">
      <c r="A14" s="526" t="s">
        <v>344</v>
      </c>
      <c r="B14" s="527" t="s">
        <v>345</v>
      </c>
      <c r="C14" s="528"/>
      <c r="D14" s="529"/>
      <c r="E14" s="528"/>
      <c r="F14" s="529"/>
      <c r="G14" s="528"/>
      <c r="H14" s="529"/>
      <c r="I14" s="528"/>
      <c r="J14" s="529"/>
      <c r="K14" s="528"/>
      <c r="L14" s="529"/>
      <c r="M14" s="536">
        <v>17.371167</v>
      </c>
      <c r="N14" s="537">
        <f>M14/'[1]Phu luc 5-Phan bo von'!M14*100</f>
        <v>44.89949856548373</v>
      </c>
      <c r="O14" s="531"/>
      <c r="P14" s="519"/>
      <c r="Q14" s="531"/>
      <c r="R14" s="531"/>
      <c r="S14" s="531"/>
      <c r="T14" s="531"/>
      <c r="U14" s="531"/>
      <c r="V14" s="531"/>
      <c r="W14" s="531"/>
      <c r="X14" s="531"/>
      <c r="Y14" s="531"/>
      <c r="Z14" s="531"/>
      <c r="AA14" s="531"/>
      <c r="AB14" s="531"/>
      <c r="AC14" s="531"/>
      <c r="AD14" s="531"/>
      <c r="AE14" s="531"/>
      <c r="AF14" s="531"/>
      <c r="AI14" s="498">
        <f>17371.617/1000</f>
        <v>17.371616999999997</v>
      </c>
      <c r="AJ14" s="691">
        <f>M14-AI14</f>
        <v>-0.0004499999999971749</v>
      </c>
    </row>
    <row r="15" spans="1:36" ht="24">
      <c r="A15" s="526" t="s">
        <v>346</v>
      </c>
      <c r="B15" s="527" t="s">
        <v>320</v>
      </c>
      <c r="C15" s="528"/>
      <c r="D15" s="529"/>
      <c r="E15" s="528"/>
      <c r="F15" s="529"/>
      <c r="G15" s="528"/>
      <c r="H15" s="529"/>
      <c r="I15" s="528"/>
      <c r="J15" s="529"/>
      <c r="K15" s="528"/>
      <c r="L15" s="529"/>
      <c r="M15" s="536">
        <v>8.328948</v>
      </c>
      <c r="N15" s="537">
        <f>M15/'[1]Phu luc 5-Phan bo von'!M15*100</f>
        <v>83.28948</v>
      </c>
      <c r="O15" s="531"/>
      <c r="P15" s="519"/>
      <c r="Q15" s="531"/>
      <c r="R15" s="531"/>
      <c r="S15" s="531"/>
      <c r="T15" s="531"/>
      <c r="U15" s="531"/>
      <c r="V15" s="531"/>
      <c r="W15" s="531"/>
      <c r="X15" s="531"/>
      <c r="Y15" s="531"/>
      <c r="Z15" s="531"/>
      <c r="AA15" s="531"/>
      <c r="AB15" s="531"/>
      <c r="AC15" s="531"/>
      <c r="AD15" s="531"/>
      <c r="AE15" s="531"/>
      <c r="AF15" s="531"/>
      <c r="AI15" s="498">
        <f>6341.626/1000</f>
        <v>6.341626</v>
      </c>
      <c r="AJ15" s="691">
        <f>M16-AI15</f>
        <v>0</v>
      </c>
    </row>
    <row r="16" spans="1:36" ht="24">
      <c r="A16" s="526" t="s">
        <v>347</v>
      </c>
      <c r="B16" s="527" t="s">
        <v>317</v>
      </c>
      <c r="C16" s="528"/>
      <c r="D16" s="529"/>
      <c r="E16" s="528"/>
      <c r="F16" s="529"/>
      <c r="G16" s="528"/>
      <c r="H16" s="529"/>
      <c r="I16" s="528"/>
      <c r="J16" s="529"/>
      <c r="K16" s="528"/>
      <c r="L16" s="529"/>
      <c r="M16" s="536">
        <v>6.341626</v>
      </c>
      <c r="N16" s="537">
        <f>M16/'[1]Phu luc 5-Phan bo von'!M16*100</f>
        <v>70.4625111111111</v>
      </c>
      <c r="O16" s="531"/>
      <c r="P16" s="519"/>
      <c r="Q16" s="531"/>
      <c r="R16" s="531"/>
      <c r="S16" s="531"/>
      <c r="T16" s="531"/>
      <c r="U16" s="531"/>
      <c r="V16" s="531"/>
      <c r="W16" s="531"/>
      <c r="X16" s="531"/>
      <c r="Y16" s="531"/>
      <c r="Z16" s="531"/>
      <c r="AA16" s="531"/>
      <c r="AB16" s="531"/>
      <c r="AC16" s="531"/>
      <c r="AD16" s="531"/>
      <c r="AE16" s="531"/>
      <c r="AF16" s="531"/>
      <c r="AI16" s="498">
        <f>8328.948/1000</f>
        <v>8.328948</v>
      </c>
      <c r="AJ16" s="691">
        <f>M15-AI16</f>
        <v>0</v>
      </c>
    </row>
    <row r="17" spans="1:32" ht="24">
      <c r="A17" s="526" t="s">
        <v>348</v>
      </c>
      <c r="B17" s="527" t="s">
        <v>349</v>
      </c>
      <c r="C17" s="528"/>
      <c r="D17" s="529"/>
      <c r="E17" s="528"/>
      <c r="F17" s="529"/>
      <c r="G17" s="528"/>
      <c r="H17" s="529"/>
      <c r="I17" s="528"/>
      <c r="J17" s="529"/>
      <c r="K17" s="528"/>
      <c r="L17" s="529"/>
      <c r="M17" s="528"/>
      <c r="N17" s="529"/>
      <c r="O17" s="528"/>
      <c r="P17" s="519"/>
      <c r="Q17" s="528"/>
      <c r="R17" s="529"/>
      <c r="S17" s="528"/>
      <c r="T17" s="537"/>
      <c r="U17" s="528"/>
      <c r="V17" s="529"/>
      <c r="W17" s="538"/>
      <c r="X17" s="532"/>
      <c r="Y17" s="531"/>
      <c r="Z17" s="537"/>
      <c r="AA17" s="531"/>
      <c r="AB17" s="531"/>
      <c r="AC17" s="531"/>
      <c r="AD17" s="537"/>
      <c r="AE17" s="528"/>
      <c r="AF17" s="529"/>
    </row>
    <row r="18" spans="1:32" s="523" customFormat="1" ht="36">
      <c r="A18" s="512" t="s">
        <v>34</v>
      </c>
      <c r="B18" s="524" t="s">
        <v>191</v>
      </c>
      <c r="C18" s="528"/>
      <c r="D18" s="529"/>
      <c r="E18" s="528"/>
      <c r="F18" s="529"/>
      <c r="G18" s="528"/>
      <c r="H18" s="529"/>
      <c r="I18" s="528"/>
      <c r="J18" s="529"/>
      <c r="K18" s="528"/>
      <c r="L18" s="529"/>
      <c r="M18" s="530"/>
      <c r="N18" s="529"/>
      <c r="O18" s="525">
        <v>0</v>
      </c>
      <c r="P18" s="519"/>
      <c r="Q18" s="525"/>
      <c r="R18" s="525"/>
      <c r="S18" s="525">
        <v>0</v>
      </c>
      <c r="T18" s="531"/>
      <c r="U18" s="531"/>
      <c r="V18" s="531"/>
      <c r="W18" s="531"/>
      <c r="X18" s="531"/>
      <c r="Y18" s="531"/>
      <c r="Z18" s="531"/>
      <c r="AA18" s="531"/>
      <c r="AB18" s="531"/>
      <c r="AC18" s="531"/>
      <c r="AD18" s="531"/>
      <c r="AE18" s="531"/>
      <c r="AF18" s="531"/>
    </row>
    <row r="19" spans="1:32" ht="31.5">
      <c r="A19" s="512" t="s">
        <v>171</v>
      </c>
      <c r="B19" s="539" t="s">
        <v>192</v>
      </c>
      <c r="C19" s="528"/>
      <c r="D19" s="529"/>
      <c r="E19" s="528"/>
      <c r="F19" s="529"/>
      <c r="G19" s="528"/>
      <c r="H19" s="529"/>
      <c r="I19" s="528"/>
      <c r="J19" s="529"/>
      <c r="K19" s="528"/>
      <c r="L19" s="529"/>
      <c r="M19" s="530"/>
      <c r="N19" s="529"/>
      <c r="O19" s="525">
        <v>0</v>
      </c>
      <c r="P19" s="519"/>
      <c r="Q19" s="525"/>
      <c r="R19" s="525"/>
      <c r="S19" s="525">
        <v>0</v>
      </c>
      <c r="T19" s="531"/>
      <c r="U19" s="531"/>
      <c r="V19" s="531"/>
      <c r="W19" s="531"/>
      <c r="X19" s="531"/>
      <c r="Y19" s="531"/>
      <c r="Z19" s="531"/>
      <c r="AA19" s="531"/>
      <c r="AB19" s="531"/>
      <c r="AC19" s="531"/>
      <c r="AD19" s="531"/>
      <c r="AE19" s="531"/>
      <c r="AF19" s="531"/>
    </row>
    <row r="20" spans="1:32" ht="36">
      <c r="A20" s="526">
        <v>1</v>
      </c>
      <c r="B20" s="527" t="s">
        <v>193</v>
      </c>
      <c r="C20" s="528"/>
      <c r="D20" s="529"/>
      <c r="E20" s="528"/>
      <c r="F20" s="529"/>
      <c r="G20" s="528"/>
      <c r="H20" s="529"/>
      <c r="I20" s="528"/>
      <c r="J20" s="529"/>
      <c r="K20" s="528"/>
      <c r="L20" s="529"/>
      <c r="M20" s="530"/>
      <c r="N20" s="529"/>
      <c r="O20" s="532">
        <v>0</v>
      </c>
      <c r="P20" s="519"/>
      <c r="Q20" s="532"/>
      <c r="R20" s="532"/>
      <c r="S20" s="532">
        <v>0</v>
      </c>
      <c r="T20" s="531"/>
      <c r="U20" s="531"/>
      <c r="V20" s="531"/>
      <c r="W20" s="531"/>
      <c r="X20" s="531"/>
      <c r="Y20" s="531"/>
      <c r="Z20" s="531"/>
      <c r="AA20" s="531"/>
      <c r="AB20" s="531"/>
      <c r="AC20" s="531"/>
      <c r="AD20" s="531"/>
      <c r="AE20" s="531"/>
      <c r="AF20" s="531"/>
    </row>
    <row r="21" spans="1:32" ht="22.5">
      <c r="A21" s="526">
        <v>2</v>
      </c>
      <c r="B21" s="540" t="s">
        <v>194</v>
      </c>
      <c r="C21" s="528"/>
      <c r="D21" s="529"/>
      <c r="E21" s="528"/>
      <c r="F21" s="529"/>
      <c r="G21" s="528"/>
      <c r="H21" s="529"/>
      <c r="I21" s="528"/>
      <c r="J21" s="529"/>
      <c r="K21" s="528"/>
      <c r="L21" s="529"/>
      <c r="M21" s="530"/>
      <c r="N21" s="529"/>
      <c r="O21" s="532">
        <v>0</v>
      </c>
      <c r="P21" s="519"/>
      <c r="Q21" s="532"/>
      <c r="R21" s="532"/>
      <c r="S21" s="532">
        <v>0</v>
      </c>
      <c r="T21" s="531"/>
      <c r="U21" s="531"/>
      <c r="V21" s="531"/>
      <c r="W21" s="531"/>
      <c r="X21" s="531"/>
      <c r="Y21" s="531"/>
      <c r="Z21" s="531"/>
      <c r="AA21" s="531"/>
      <c r="AB21" s="531"/>
      <c r="AC21" s="531"/>
      <c r="AD21" s="531"/>
      <c r="AE21" s="531"/>
      <c r="AF21" s="531"/>
    </row>
    <row r="22" spans="1:32" s="523" customFormat="1" ht="36">
      <c r="A22" s="541" t="s">
        <v>350</v>
      </c>
      <c r="B22" s="524" t="s">
        <v>186</v>
      </c>
      <c r="C22" s="516"/>
      <c r="D22" s="517"/>
      <c r="E22" s="516"/>
      <c r="F22" s="517"/>
      <c r="G22" s="542"/>
      <c r="H22" s="543"/>
      <c r="I22" s="542"/>
      <c r="J22" s="543"/>
      <c r="K22" s="542"/>
      <c r="L22" s="543"/>
      <c r="M22" s="544"/>
      <c r="N22" s="517"/>
      <c r="O22" s="521">
        <f>O23+O24+O25</f>
        <v>1.015</v>
      </c>
      <c r="P22" s="519">
        <f>O22/'[1]Phu luc 5-Phan bo von'!O22*100</f>
        <v>33.93513874958208</v>
      </c>
      <c r="Q22" s="545"/>
      <c r="R22" s="545"/>
      <c r="S22" s="546">
        <v>0</v>
      </c>
      <c r="T22" s="545"/>
      <c r="U22" s="545"/>
      <c r="V22" s="545"/>
      <c r="W22" s="521"/>
      <c r="X22" s="521"/>
      <c r="Y22" s="521"/>
      <c r="Z22" s="521"/>
      <c r="AA22" s="545"/>
      <c r="AB22" s="545"/>
      <c r="AC22" s="545"/>
      <c r="AD22" s="545"/>
      <c r="AE22" s="545"/>
      <c r="AF22" s="545"/>
    </row>
    <row r="23" spans="1:32" ht="36">
      <c r="A23" s="547">
        <v>1</v>
      </c>
      <c r="B23" s="527" t="s">
        <v>187</v>
      </c>
      <c r="C23" s="528"/>
      <c r="D23" s="529"/>
      <c r="E23" s="528"/>
      <c r="F23" s="529"/>
      <c r="G23" s="548"/>
      <c r="H23" s="549"/>
      <c r="I23" s="548"/>
      <c r="J23" s="549"/>
      <c r="K23" s="548"/>
      <c r="L23" s="529"/>
      <c r="M23" s="530"/>
      <c r="N23" s="529"/>
      <c r="O23" s="531">
        <v>1.015</v>
      </c>
      <c r="P23" s="537">
        <f>O23/'[1]Phu luc 5-Phan bo von'!O23*100</f>
        <v>44.42013129102844</v>
      </c>
      <c r="Q23" s="550"/>
      <c r="R23" s="550"/>
      <c r="S23" s="551">
        <v>0</v>
      </c>
      <c r="T23" s="550"/>
      <c r="U23" s="550"/>
      <c r="V23" s="531"/>
      <c r="W23" s="531"/>
      <c r="X23" s="531"/>
      <c r="Y23" s="531"/>
      <c r="Z23" s="531"/>
      <c r="AA23" s="550"/>
      <c r="AB23" s="550"/>
      <c r="AC23" s="550"/>
      <c r="AD23" s="550"/>
      <c r="AE23" s="550"/>
      <c r="AF23" s="531"/>
    </row>
    <row r="24" spans="1:32" ht="36">
      <c r="A24" s="547">
        <v>2</v>
      </c>
      <c r="B24" s="527" t="s">
        <v>188</v>
      </c>
      <c r="C24" s="532"/>
      <c r="D24" s="529"/>
      <c r="E24" s="532"/>
      <c r="F24" s="529"/>
      <c r="G24" s="551"/>
      <c r="H24" s="549"/>
      <c r="I24" s="551"/>
      <c r="J24" s="549"/>
      <c r="K24" s="551"/>
      <c r="L24" s="529"/>
      <c r="M24" s="530"/>
      <c r="N24" s="529"/>
      <c r="O24" s="532">
        <v>0</v>
      </c>
      <c r="P24" s="537"/>
      <c r="Q24" s="550"/>
      <c r="R24" s="550"/>
      <c r="S24" s="551"/>
      <c r="T24" s="550"/>
      <c r="U24" s="550"/>
      <c r="V24" s="531"/>
      <c r="W24" s="531"/>
      <c r="X24" s="531"/>
      <c r="Y24" s="531"/>
      <c r="Z24" s="531"/>
      <c r="AA24" s="550"/>
      <c r="AB24" s="550"/>
      <c r="AC24" s="550"/>
      <c r="AD24" s="550"/>
      <c r="AE24" s="550"/>
      <c r="AF24" s="531"/>
    </row>
    <row r="25" spans="1:32" ht="24">
      <c r="A25" s="547">
        <v>3</v>
      </c>
      <c r="B25" s="527" t="s">
        <v>189</v>
      </c>
      <c r="C25" s="532"/>
      <c r="D25" s="529"/>
      <c r="E25" s="532"/>
      <c r="F25" s="529"/>
      <c r="G25" s="551"/>
      <c r="H25" s="549"/>
      <c r="I25" s="551"/>
      <c r="J25" s="549"/>
      <c r="K25" s="551"/>
      <c r="L25" s="529"/>
      <c r="M25" s="530"/>
      <c r="N25" s="529"/>
      <c r="O25" s="532">
        <v>0</v>
      </c>
      <c r="P25" s="537"/>
      <c r="Q25" s="550"/>
      <c r="R25" s="550"/>
      <c r="S25" s="551">
        <v>0</v>
      </c>
      <c r="T25" s="550"/>
      <c r="U25" s="550"/>
      <c r="V25" s="531"/>
      <c r="W25" s="531"/>
      <c r="X25" s="531"/>
      <c r="Y25" s="531"/>
      <c r="Z25" s="531"/>
      <c r="AA25" s="550"/>
      <c r="AB25" s="550"/>
      <c r="AC25" s="550"/>
      <c r="AD25" s="550"/>
      <c r="AE25" s="550"/>
      <c r="AF25" s="531"/>
    </row>
    <row r="26" spans="1:32" ht="42">
      <c r="A26" s="552" t="s">
        <v>351</v>
      </c>
      <c r="B26" s="553" t="s">
        <v>195</v>
      </c>
      <c r="C26" s="554"/>
      <c r="D26" s="555"/>
      <c r="E26" s="554"/>
      <c r="F26" s="555"/>
      <c r="G26" s="556"/>
      <c r="H26" s="557"/>
      <c r="I26" s="556"/>
      <c r="J26" s="557"/>
      <c r="K26" s="556"/>
      <c r="L26" s="555"/>
      <c r="M26" s="558"/>
      <c r="N26" s="555"/>
      <c r="O26" s="559">
        <v>0</v>
      </c>
      <c r="P26" s="519"/>
      <c r="Q26" s="560"/>
      <c r="R26" s="560"/>
      <c r="S26" s="561">
        <v>0</v>
      </c>
      <c r="T26" s="562"/>
      <c r="U26" s="562"/>
      <c r="V26" s="563"/>
      <c r="W26" s="563"/>
      <c r="X26" s="563"/>
      <c r="Y26" s="563"/>
      <c r="Z26" s="563"/>
      <c r="AA26" s="562"/>
      <c r="AB26" s="562"/>
      <c r="AC26" s="562"/>
      <c r="AD26" s="562"/>
      <c r="AE26" s="562"/>
      <c r="AF26" s="563"/>
    </row>
    <row r="27" spans="1:32" ht="31.5">
      <c r="A27" s="512" t="s">
        <v>352</v>
      </c>
      <c r="B27" s="564" t="s">
        <v>196</v>
      </c>
      <c r="C27" s="554"/>
      <c r="D27" s="555"/>
      <c r="E27" s="554"/>
      <c r="F27" s="555"/>
      <c r="G27" s="554"/>
      <c r="H27" s="555"/>
      <c r="I27" s="554"/>
      <c r="J27" s="555"/>
      <c r="K27" s="554"/>
      <c r="L27" s="555"/>
      <c r="M27" s="558"/>
      <c r="N27" s="555"/>
      <c r="O27" s="566">
        <f>O28+O29</f>
        <v>0.076</v>
      </c>
      <c r="P27" s="517">
        <f>O27/'[1]Phu luc 5-Phan bo von'!O27*100</f>
        <v>17.040358744394617</v>
      </c>
      <c r="Q27" s="566"/>
      <c r="R27" s="566"/>
      <c r="S27" s="559">
        <v>0</v>
      </c>
      <c r="T27" s="563"/>
      <c r="U27" s="563"/>
      <c r="V27" s="563"/>
      <c r="W27" s="563"/>
      <c r="X27" s="563"/>
      <c r="Y27" s="563"/>
      <c r="Z27" s="563"/>
      <c r="AA27" s="563"/>
      <c r="AB27" s="563"/>
      <c r="AC27" s="563"/>
      <c r="AD27" s="563"/>
      <c r="AE27" s="563"/>
      <c r="AF27" s="563"/>
    </row>
    <row r="28" spans="1:32" ht="24">
      <c r="A28" s="526">
        <v>1</v>
      </c>
      <c r="B28" s="567" t="s">
        <v>197</v>
      </c>
      <c r="C28" s="554"/>
      <c r="D28" s="555"/>
      <c r="E28" s="554"/>
      <c r="F28" s="555"/>
      <c r="G28" s="568"/>
      <c r="H28" s="569"/>
      <c r="I28" s="568"/>
      <c r="J28" s="570"/>
      <c r="K28" s="568"/>
      <c r="L28" s="555"/>
      <c r="M28" s="558"/>
      <c r="N28" s="555"/>
      <c r="O28" s="554">
        <v>0</v>
      </c>
      <c r="P28" s="519"/>
      <c r="Q28" s="571"/>
      <c r="R28" s="572"/>
      <c r="S28" s="568">
        <v>0</v>
      </c>
      <c r="T28" s="571"/>
      <c r="U28" s="571"/>
      <c r="V28" s="563"/>
      <c r="W28" s="563"/>
      <c r="X28" s="563"/>
      <c r="Y28" s="563"/>
      <c r="Z28" s="563"/>
      <c r="AA28" s="571"/>
      <c r="AB28" s="572"/>
      <c r="AC28" s="571"/>
      <c r="AD28" s="571"/>
      <c r="AE28" s="571"/>
      <c r="AF28" s="563"/>
    </row>
    <row r="29" spans="1:32" ht="24">
      <c r="A29" s="526">
        <v>2</v>
      </c>
      <c r="B29" s="567" t="s">
        <v>198</v>
      </c>
      <c r="C29" s="554"/>
      <c r="D29" s="555"/>
      <c r="E29" s="554"/>
      <c r="F29" s="555"/>
      <c r="G29" s="568"/>
      <c r="H29" s="569"/>
      <c r="I29" s="568"/>
      <c r="J29" s="570"/>
      <c r="K29" s="568"/>
      <c r="L29" s="555"/>
      <c r="M29" s="558"/>
      <c r="N29" s="555"/>
      <c r="O29" s="563">
        <v>0.076</v>
      </c>
      <c r="P29" s="519">
        <f>O29/'[1]Phu luc 5-Phan bo von'!O29*100</f>
        <v>100</v>
      </c>
      <c r="Q29" s="571"/>
      <c r="R29" s="572"/>
      <c r="S29" s="568">
        <v>0</v>
      </c>
      <c r="T29" s="571"/>
      <c r="U29" s="571"/>
      <c r="V29" s="563"/>
      <c r="W29" s="563"/>
      <c r="X29" s="563"/>
      <c r="Y29" s="563"/>
      <c r="Z29" s="563"/>
      <c r="AA29" s="571"/>
      <c r="AB29" s="572"/>
      <c r="AC29" s="571"/>
      <c r="AD29" s="571"/>
      <c r="AE29" s="571"/>
      <c r="AF29" s="563"/>
    </row>
    <row r="30" spans="1:32" s="523" customFormat="1" ht="36">
      <c r="A30" s="512" t="s">
        <v>353</v>
      </c>
      <c r="B30" s="524" t="s">
        <v>199</v>
      </c>
      <c r="C30" s="554"/>
      <c r="D30" s="555"/>
      <c r="E30" s="554"/>
      <c r="F30" s="555"/>
      <c r="G30" s="556"/>
      <c r="H30" s="557"/>
      <c r="I30" s="556"/>
      <c r="J30" s="557"/>
      <c r="K30" s="556"/>
      <c r="L30" s="557"/>
      <c r="M30" s="558"/>
      <c r="N30" s="555"/>
      <c r="O30" s="565">
        <f>O31+O32</f>
        <v>0.8126249999999999</v>
      </c>
      <c r="P30" s="519">
        <f>O30/'[1]Phu luc 5-Phan bo von'!O30*100</f>
        <v>82.33282674772035</v>
      </c>
      <c r="Q30" s="560"/>
      <c r="R30" s="560"/>
      <c r="S30" s="561">
        <v>0</v>
      </c>
      <c r="T30" s="562"/>
      <c r="U30" s="562"/>
      <c r="V30" s="562"/>
      <c r="W30" s="563"/>
      <c r="X30" s="563"/>
      <c r="Y30" s="563"/>
      <c r="Z30" s="563"/>
      <c r="AA30" s="562"/>
      <c r="AB30" s="562"/>
      <c r="AC30" s="562"/>
      <c r="AD30" s="562"/>
      <c r="AE30" s="562"/>
      <c r="AF30" s="562"/>
    </row>
    <row r="31" spans="1:32" ht="36">
      <c r="A31" s="573">
        <v>1</v>
      </c>
      <c r="B31" s="567" t="s">
        <v>200</v>
      </c>
      <c r="C31" s="568"/>
      <c r="D31" s="570"/>
      <c r="E31" s="568"/>
      <c r="F31" s="570"/>
      <c r="G31" s="568"/>
      <c r="H31" s="569"/>
      <c r="I31" s="568"/>
      <c r="J31" s="570"/>
      <c r="K31" s="568"/>
      <c r="L31" s="570"/>
      <c r="M31" s="574"/>
      <c r="N31" s="570"/>
      <c r="O31" s="575">
        <v>0.474645</v>
      </c>
      <c r="P31" s="519">
        <f>O31/'[1]Phu luc 5-Phan bo von'!O31*100</f>
        <v>73.58837209302325</v>
      </c>
      <c r="Q31" s="571"/>
      <c r="R31" s="572"/>
      <c r="S31" s="568">
        <v>0</v>
      </c>
      <c r="T31" s="571"/>
      <c r="U31" s="571"/>
      <c r="V31" s="571"/>
      <c r="W31" s="571"/>
      <c r="X31" s="571"/>
      <c r="Y31" s="571"/>
      <c r="Z31" s="571"/>
      <c r="AA31" s="571"/>
      <c r="AB31" s="572"/>
      <c r="AC31" s="571"/>
      <c r="AD31" s="571"/>
      <c r="AE31" s="571"/>
      <c r="AF31" s="571"/>
    </row>
    <row r="32" spans="1:32" ht="24">
      <c r="A32" s="573">
        <v>2</v>
      </c>
      <c r="B32" s="567" t="s">
        <v>201</v>
      </c>
      <c r="C32" s="568"/>
      <c r="D32" s="570"/>
      <c r="E32" s="568"/>
      <c r="F32" s="570"/>
      <c r="G32" s="568"/>
      <c r="H32" s="569"/>
      <c r="I32" s="568"/>
      <c r="J32" s="570"/>
      <c r="K32" s="568"/>
      <c r="L32" s="570"/>
      <c r="M32" s="574"/>
      <c r="N32" s="570"/>
      <c r="O32" s="576">
        <v>0.33798</v>
      </c>
      <c r="P32" s="519">
        <f>O32/'[1]Phu luc 5-Phan bo von'!O32*100</f>
        <v>98.82456140350877</v>
      </c>
      <c r="Q32" s="571"/>
      <c r="R32" s="572"/>
      <c r="S32" s="568">
        <v>0</v>
      </c>
      <c r="T32" s="571"/>
      <c r="U32" s="571"/>
      <c r="V32" s="571"/>
      <c r="W32" s="571"/>
      <c r="X32" s="571"/>
      <c r="Y32" s="571"/>
      <c r="Z32" s="571"/>
      <c r="AA32" s="571"/>
      <c r="AB32" s="572"/>
      <c r="AC32" s="571"/>
      <c r="AD32" s="571"/>
      <c r="AE32" s="571"/>
      <c r="AF32" s="571"/>
    </row>
    <row r="33" spans="1:28" ht="30.75" customHeight="1">
      <c r="A33" s="577"/>
      <c r="B33" s="684"/>
      <c r="C33" s="684"/>
      <c r="D33" s="684"/>
      <c r="E33" s="684"/>
      <c r="F33" s="684"/>
      <c r="G33" s="684"/>
      <c r="H33" s="684"/>
      <c r="I33" s="684"/>
      <c r="J33" s="684"/>
      <c r="K33" s="684"/>
      <c r="L33" s="684"/>
      <c r="M33" s="684"/>
      <c r="N33" s="684"/>
      <c r="O33" s="684"/>
      <c r="P33" s="310"/>
      <c r="Q33" s="310"/>
      <c r="R33" s="650"/>
      <c r="S33" s="685"/>
      <c r="T33" s="685"/>
      <c r="U33" s="685"/>
      <c r="V33" s="685"/>
      <c r="W33" s="685"/>
      <c r="X33" s="685"/>
      <c r="Y33" s="685"/>
      <c r="Z33" s="685"/>
      <c r="AA33" s="685"/>
      <c r="AB33" s="685"/>
    </row>
    <row r="34" spans="2:28" ht="15.75">
      <c r="B34" s="684"/>
      <c r="C34" s="684"/>
      <c r="D34" s="684"/>
      <c r="E34" s="684"/>
      <c r="F34" s="684"/>
      <c r="G34" s="684"/>
      <c r="H34" s="684"/>
      <c r="I34" s="684"/>
      <c r="J34" s="684"/>
      <c r="K34" s="684"/>
      <c r="L34" s="684"/>
      <c r="M34" s="684"/>
      <c r="N34" s="684"/>
      <c r="O34" s="684"/>
      <c r="P34" s="310"/>
      <c r="Q34" s="310"/>
      <c r="R34" s="310"/>
      <c r="S34" s="310"/>
      <c r="T34" s="482"/>
      <c r="U34" s="482"/>
      <c r="V34" s="482"/>
      <c r="W34" s="578"/>
      <c r="X34" s="482"/>
      <c r="Y34" s="482"/>
      <c r="Z34" s="482"/>
      <c r="AA34" s="482"/>
      <c r="AB34" s="482"/>
    </row>
  </sheetData>
  <sheetProtection/>
  <mergeCells count="32">
    <mergeCell ref="Y6:Z6"/>
    <mergeCell ref="AA6:AB6"/>
    <mergeCell ref="AC6:AD6"/>
    <mergeCell ref="B33:O33"/>
    <mergeCell ref="R33:AB33"/>
    <mergeCell ref="B34:O34"/>
    <mergeCell ref="AE5:AF5"/>
    <mergeCell ref="C6:D6"/>
    <mergeCell ref="E6:F6"/>
    <mergeCell ref="G6:H6"/>
    <mergeCell ref="I6:J6"/>
    <mergeCell ref="M6:N6"/>
    <mergeCell ref="O6:P6"/>
    <mergeCell ref="Q6:R6"/>
    <mergeCell ref="S6:T6"/>
    <mergeCell ref="W6:X6"/>
    <mergeCell ref="K5:L5"/>
    <mergeCell ref="M5:P5"/>
    <mergeCell ref="Q5:T5"/>
    <mergeCell ref="U5:V5"/>
    <mergeCell ref="W5:Z5"/>
    <mergeCell ref="AA5:AD5"/>
    <mergeCell ref="A1:AF1"/>
    <mergeCell ref="A2:AF2"/>
    <mergeCell ref="L3:N3"/>
    <mergeCell ref="A4:A7"/>
    <mergeCell ref="B4:B7"/>
    <mergeCell ref="C4:L4"/>
    <mergeCell ref="M4:V4"/>
    <mergeCell ref="W4:AF4"/>
    <mergeCell ref="C5:F5"/>
    <mergeCell ref="G5:J5"/>
  </mergeCells>
  <printOptions/>
  <pageMargins left="0.45" right="0.45" top="0.75" bottom="0.5" header="0.3" footer="0.3"/>
  <pageSetup fitToHeight="0" fitToWidth="1" orientation="landscape" paperSize="9" scale="96" r:id="rId1"/>
</worksheet>
</file>

<file path=xl/worksheets/sheet2.xml><?xml version="1.0" encoding="utf-8"?>
<worksheet xmlns="http://schemas.openxmlformats.org/spreadsheetml/2006/main" xmlns:r="http://schemas.openxmlformats.org/officeDocument/2006/relationships">
  <sheetPr>
    <tabColor rgb="FFFFC000"/>
  </sheetPr>
  <dimension ref="A1:K10"/>
  <sheetViews>
    <sheetView view="pageBreakPreview" zoomScaleSheetLayoutView="100" zoomScalePageLayoutView="0" workbookViewId="0" topLeftCell="A1">
      <selection activeCell="O10" sqref="O10"/>
    </sheetView>
  </sheetViews>
  <sheetFormatPr defaultColWidth="9.140625" defaultRowHeight="12.75"/>
  <cols>
    <col min="1" max="1" width="4.8515625" style="442" customWidth="1"/>
    <col min="2" max="2" width="23.00390625" style="442" customWidth="1"/>
    <col min="3" max="3" width="17.8515625" style="442" customWidth="1"/>
    <col min="4" max="11" width="10.8515625" style="442" customWidth="1"/>
    <col min="12" max="16384" width="9.140625" style="442" customWidth="1"/>
  </cols>
  <sheetData>
    <row r="1" spans="1:11" s="445" customFormat="1" ht="15.75">
      <c r="A1" s="592" t="s">
        <v>156</v>
      </c>
      <c r="B1" s="592"/>
      <c r="C1" s="592"/>
      <c r="J1" s="593" t="s">
        <v>157</v>
      </c>
      <c r="K1" s="593"/>
    </row>
    <row r="2" spans="1:3" s="445" customFormat="1" ht="13.5">
      <c r="A2" s="592" t="s">
        <v>309</v>
      </c>
      <c r="B2" s="592"/>
      <c r="C2" s="592"/>
    </row>
    <row r="3" spans="1:11" ht="26.25" customHeight="1">
      <c r="A3" s="686" t="s">
        <v>158</v>
      </c>
      <c r="B3" s="686"/>
      <c r="C3" s="686"/>
      <c r="D3" s="686"/>
      <c r="E3" s="686"/>
      <c r="F3" s="686"/>
      <c r="G3" s="686"/>
      <c r="H3" s="686"/>
      <c r="I3" s="686"/>
      <c r="J3" s="686"/>
      <c r="K3" s="686"/>
    </row>
    <row r="5" spans="9:11" ht="15.75">
      <c r="I5" s="687" t="s">
        <v>310</v>
      </c>
      <c r="J5" s="687"/>
      <c r="K5" s="687"/>
    </row>
    <row r="6" spans="1:11" s="443" customFormat="1" ht="16.5" customHeight="1">
      <c r="A6" s="594" t="s">
        <v>150</v>
      </c>
      <c r="B6" s="594" t="s">
        <v>151</v>
      </c>
      <c r="C6" s="588" t="s">
        <v>152</v>
      </c>
      <c r="D6" s="590" t="s">
        <v>0</v>
      </c>
      <c r="E6" s="591"/>
      <c r="F6" s="590" t="s">
        <v>153</v>
      </c>
      <c r="G6" s="591"/>
      <c r="H6" s="590" t="s">
        <v>154</v>
      </c>
      <c r="I6" s="591"/>
      <c r="J6" s="590" t="s">
        <v>155</v>
      </c>
      <c r="K6" s="591"/>
    </row>
    <row r="7" spans="1:11" s="444" customFormat="1" ht="64.5" customHeight="1">
      <c r="A7" s="595"/>
      <c r="B7" s="595"/>
      <c r="C7" s="589"/>
      <c r="D7" s="475" t="s">
        <v>240</v>
      </c>
      <c r="E7" s="475" t="s">
        <v>241</v>
      </c>
      <c r="F7" s="475" t="s">
        <v>240</v>
      </c>
      <c r="G7" s="475" t="s">
        <v>241</v>
      </c>
      <c r="H7" s="475" t="s">
        <v>240</v>
      </c>
      <c r="I7" s="475" t="s">
        <v>241</v>
      </c>
      <c r="J7" s="475" t="s">
        <v>240</v>
      </c>
      <c r="K7" s="475" t="s">
        <v>241</v>
      </c>
    </row>
    <row r="8" spans="1:11" s="452" customFormat="1" ht="12.75" customHeight="1">
      <c r="A8" s="451" t="s">
        <v>21</v>
      </c>
      <c r="B8" s="451" t="s">
        <v>22</v>
      </c>
      <c r="C8" s="451">
        <v>1</v>
      </c>
      <c r="D8" s="451">
        <v>2</v>
      </c>
      <c r="E8" s="451">
        <v>3</v>
      </c>
      <c r="F8" s="451">
        <v>4</v>
      </c>
      <c r="G8" s="451">
        <v>5</v>
      </c>
      <c r="H8" s="451">
        <v>6</v>
      </c>
      <c r="I8" s="451">
        <v>7</v>
      </c>
      <c r="J8" s="451">
        <v>12</v>
      </c>
      <c r="K8" s="451">
        <v>13</v>
      </c>
    </row>
    <row r="9" spans="1:11" s="446" customFormat="1" ht="15.75">
      <c r="A9" s="447" t="s">
        <v>34</v>
      </c>
      <c r="B9" s="448" t="s">
        <v>35</v>
      </c>
      <c r="C9" s="738">
        <f>258318+35000</f>
        <v>293318</v>
      </c>
      <c r="D9" s="739">
        <f>H9</f>
        <v>13065</v>
      </c>
      <c r="E9" s="739">
        <f>I9</f>
        <v>57689</v>
      </c>
      <c r="F9" s="739">
        <v>0</v>
      </c>
      <c r="G9" s="739">
        <v>0</v>
      </c>
      <c r="H9" s="739">
        <v>13065</v>
      </c>
      <c r="I9" s="739">
        <v>57689</v>
      </c>
      <c r="J9" s="739">
        <f>35000-D9</f>
        <v>21935</v>
      </c>
      <c r="K9" s="739">
        <f>258318-E9</f>
        <v>200629</v>
      </c>
    </row>
    <row r="10" spans="1:11" ht="15.75">
      <c r="A10" s="740">
        <v>4</v>
      </c>
      <c r="B10" s="741" t="s">
        <v>39</v>
      </c>
      <c r="C10" s="738">
        <f>258318+35000</f>
        <v>293318</v>
      </c>
      <c r="D10" s="739">
        <f>H10</f>
        <v>13065</v>
      </c>
      <c r="E10" s="739">
        <f>I10</f>
        <v>57689</v>
      </c>
      <c r="F10" s="739">
        <v>0</v>
      </c>
      <c r="G10" s="739">
        <v>0</v>
      </c>
      <c r="H10" s="739">
        <v>13065</v>
      </c>
      <c r="I10" s="739">
        <v>57689</v>
      </c>
      <c r="J10" s="739">
        <f>35000-D10</f>
        <v>21935</v>
      </c>
      <c r="K10" s="739">
        <f>258318-E10</f>
        <v>200629</v>
      </c>
    </row>
  </sheetData>
  <sheetProtection/>
  <mergeCells count="12">
    <mergeCell ref="A1:C1"/>
    <mergeCell ref="A2:C2"/>
    <mergeCell ref="J1:K1"/>
    <mergeCell ref="A3:K3"/>
    <mergeCell ref="A6:A7"/>
    <mergeCell ref="B6:B7"/>
    <mergeCell ref="I5:K5"/>
    <mergeCell ref="C6:C7"/>
    <mergeCell ref="D6:E6"/>
    <mergeCell ref="F6:G6"/>
    <mergeCell ref="H6:I6"/>
    <mergeCell ref="J6:K6"/>
  </mergeCells>
  <printOptions horizontalCentered="1"/>
  <pageMargins left="0.2" right="0.2" top="0.75" bottom="0.25"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C000"/>
  </sheetPr>
  <dimension ref="A1:I51"/>
  <sheetViews>
    <sheetView tabSelected="1" view="pageBreakPreview" zoomScale="70" zoomScaleNormal="85" zoomScaleSheetLayoutView="70" zoomScalePageLayoutView="0" workbookViewId="0" topLeftCell="A1">
      <selection activeCell="M12" sqref="M12"/>
    </sheetView>
  </sheetViews>
  <sheetFormatPr defaultColWidth="9.140625" defaultRowHeight="12.75"/>
  <cols>
    <col min="1" max="1" width="4.8515625" style="268" customWidth="1"/>
    <col min="2" max="2" width="23.00390625" style="268" customWidth="1"/>
    <col min="3" max="9" width="15.8515625" style="697" customWidth="1"/>
    <col min="10" max="16384" width="9.140625" style="268" customWidth="1"/>
  </cols>
  <sheetData>
    <row r="1" spans="1:9" s="696" customFormat="1" ht="14.25">
      <c r="A1" s="693" t="s">
        <v>156</v>
      </c>
      <c r="B1" s="693"/>
      <c r="C1" s="693"/>
      <c r="D1" s="694"/>
      <c r="E1" s="694"/>
      <c r="F1" s="694"/>
      <c r="G1" s="694"/>
      <c r="H1" s="695" t="s">
        <v>159</v>
      </c>
      <c r="I1" s="695"/>
    </row>
    <row r="2" spans="1:9" s="696" customFormat="1" ht="14.25">
      <c r="A2" s="693" t="s">
        <v>309</v>
      </c>
      <c r="B2" s="693"/>
      <c r="C2" s="693"/>
      <c r="D2" s="694"/>
      <c r="E2" s="694"/>
      <c r="F2" s="694"/>
      <c r="G2" s="694"/>
      <c r="H2" s="694"/>
      <c r="I2" s="694"/>
    </row>
    <row r="3" spans="1:9" ht="20.25" customHeight="1">
      <c r="A3" s="693" t="s">
        <v>160</v>
      </c>
      <c r="B3" s="693"/>
      <c r="C3" s="693"/>
      <c r="D3" s="693"/>
      <c r="E3" s="693"/>
      <c r="F3" s="693"/>
      <c r="G3" s="693"/>
      <c r="H3" s="693"/>
      <c r="I3" s="693"/>
    </row>
    <row r="4" spans="1:9" ht="20.25" customHeight="1">
      <c r="A4" s="693" t="s">
        <v>161</v>
      </c>
      <c r="B4" s="693"/>
      <c r="C4" s="693"/>
      <c r="D4" s="693"/>
      <c r="E4" s="693"/>
      <c r="F4" s="693"/>
      <c r="G4" s="693"/>
      <c r="H4" s="693"/>
      <c r="I4" s="693"/>
    </row>
    <row r="6" spans="8:9" ht="15.75">
      <c r="H6" s="698" t="s">
        <v>310</v>
      </c>
      <c r="I6" s="698"/>
    </row>
    <row r="7" spans="1:9" s="701" customFormat="1" ht="35.25" customHeight="1">
      <c r="A7" s="699" t="s">
        <v>150</v>
      </c>
      <c r="B7" s="700" t="s">
        <v>175</v>
      </c>
      <c r="C7" s="637" t="s">
        <v>162</v>
      </c>
      <c r="D7" s="637" t="s">
        <v>163</v>
      </c>
      <c r="E7" s="637" t="s">
        <v>164</v>
      </c>
      <c r="F7" s="637" t="s">
        <v>165</v>
      </c>
      <c r="G7" s="637" t="s">
        <v>166</v>
      </c>
      <c r="H7" s="637" t="s">
        <v>167</v>
      </c>
      <c r="I7" s="637" t="s">
        <v>168</v>
      </c>
    </row>
    <row r="8" spans="1:9" s="329" customFormat="1" ht="33.75" customHeight="1">
      <c r="A8" s="702"/>
      <c r="B8" s="703" t="s">
        <v>151</v>
      </c>
      <c r="C8" s="639"/>
      <c r="D8" s="639"/>
      <c r="E8" s="639"/>
      <c r="F8" s="639"/>
      <c r="G8" s="639"/>
      <c r="H8" s="639"/>
      <c r="I8" s="639"/>
    </row>
    <row r="9" spans="1:9" s="705" customFormat="1" ht="15">
      <c r="A9" s="581" t="s">
        <v>21</v>
      </c>
      <c r="B9" s="581" t="s">
        <v>22</v>
      </c>
      <c r="C9" s="704">
        <v>1</v>
      </c>
      <c r="D9" s="704">
        <v>2</v>
      </c>
      <c r="E9" s="704" t="s">
        <v>169</v>
      </c>
      <c r="F9" s="704">
        <v>4</v>
      </c>
      <c r="G9" s="704">
        <v>5</v>
      </c>
      <c r="H9" s="704">
        <v>6</v>
      </c>
      <c r="I9" s="704" t="s">
        <v>170</v>
      </c>
    </row>
    <row r="10" spans="1:9" ht="15.75">
      <c r="A10" s="580" t="s">
        <v>24</v>
      </c>
      <c r="B10" s="454" t="s">
        <v>153</v>
      </c>
      <c r="C10" s="706"/>
      <c r="D10" s="706"/>
      <c r="E10" s="706"/>
      <c r="F10" s="706"/>
      <c r="G10" s="706"/>
      <c r="H10" s="706"/>
      <c r="I10" s="706"/>
    </row>
    <row r="11" spans="1:9" s="473" customFormat="1" ht="15.75">
      <c r="A11" s="447"/>
      <c r="B11" s="448" t="s">
        <v>35</v>
      </c>
      <c r="C11" s="707"/>
      <c r="D11" s="707"/>
      <c r="E11" s="707"/>
      <c r="F11" s="707"/>
      <c r="G11" s="707"/>
      <c r="H11" s="707"/>
      <c r="I11" s="707"/>
    </row>
    <row r="12" spans="1:9" ht="15.75">
      <c r="A12" s="449">
        <v>1</v>
      </c>
      <c r="B12" s="450" t="s">
        <v>36</v>
      </c>
      <c r="C12" s="706"/>
      <c r="D12" s="706"/>
      <c r="E12" s="706"/>
      <c r="F12" s="706"/>
      <c r="G12" s="706"/>
      <c r="H12" s="706"/>
      <c r="I12" s="706"/>
    </row>
    <row r="13" spans="1:9" ht="15.75">
      <c r="A13" s="449">
        <v>2</v>
      </c>
      <c r="B13" s="450" t="s">
        <v>37</v>
      </c>
      <c r="C13" s="706"/>
      <c r="D13" s="706"/>
      <c r="E13" s="706"/>
      <c r="F13" s="706"/>
      <c r="G13" s="706"/>
      <c r="H13" s="706"/>
      <c r="I13" s="706"/>
    </row>
    <row r="14" spans="1:9" ht="15.75">
      <c r="A14" s="449">
        <v>3</v>
      </c>
      <c r="B14" s="450" t="s">
        <v>38</v>
      </c>
      <c r="C14" s="706"/>
      <c r="D14" s="706"/>
      <c r="E14" s="706"/>
      <c r="F14" s="706"/>
      <c r="G14" s="706"/>
      <c r="H14" s="706"/>
      <c r="I14" s="706"/>
    </row>
    <row r="15" spans="1:9" ht="15.75">
      <c r="A15" s="449">
        <v>4</v>
      </c>
      <c r="B15" s="450" t="s">
        <v>39</v>
      </c>
      <c r="C15" s="708">
        <v>0</v>
      </c>
      <c r="D15" s="708">
        <v>0</v>
      </c>
      <c r="E15" s="708">
        <v>0</v>
      </c>
      <c r="F15" s="708">
        <v>0</v>
      </c>
      <c r="G15" s="708">
        <v>0</v>
      </c>
      <c r="H15" s="708">
        <v>0</v>
      </c>
      <c r="I15" s="708">
        <v>0</v>
      </c>
    </row>
    <row r="16" spans="1:9" ht="15.75">
      <c r="A16" s="449">
        <v>5</v>
      </c>
      <c r="B16" s="450" t="s">
        <v>40</v>
      </c>
      <c r="C16" s="709"/>
      <c r="D16" s="709"/>
      <c r="E16" s="709"/>
      <c r="F16" s="709"/>
      <c r="G16" s="709"/>
      <c r="H16" s="709"/>
      <c r="I16" s="709"/>
    </row>
    <row r="17" spans="1:9" ht="15.75">
      <c r="A17" s="449">
        <v>6</v>
      </c>
      <c r="B17" s="450" t="s">
        <v>41</v>
      </c>
      <c r="C17" s="709"/>
      <c r="D17" s="709"/>
      <c r="E17" s="709"/>
      <c r="F17" s="709"/>
      <c r="G17" s="709"/>
      <c r="H17" s="709"/>
      <c r="I17" s="709"/>
    </row>
    <row r="18" spans="1:9" ht="15.75">
      <c r="A18" s="449">
        <v>7</v>
      </c>
      <c r="B18" s="450" t="s">
        <v>42</v>
      </c>
      <c r="C18" s="709"/>
      <c r="D18" s="709"/>
      <c r="E18" s="709"/>
      <c r="F18" s="709"/>
      <c r="G18" s="709"/>
      <c r="H18" s="709"/>
      <c r="I18" s="709"/>
    </row>
    <row r="19" spans="1:9" ht="15.75">
      <c r="A19" s="449">
        <v>8</v>
      </c>
      <c r="B19" s="450" t="s">
        <v>43</v>
      </c>
      <c r="C19" s="709"/>
      <c r="D19" s="709"/>
      <c r="E19" s="709"/>
      <c r="F19" s="709"/>
      <c r="G19" s="709"/>
      <c r="H19" s="709"/>
      <c r="I19" s="709"/>
    </row>
    <row r="20" spans="1:9" ht="15.75">
      <c r="A20" s="449">
        <v>9</v>
      </c>
      <c r="B20" s="450" t="s">
        <v>44</v>
      </c>
      <c r="C20" s="709"/>
      <c r="D20" s="709"/>
      <c r="E20" s="709"/>
      <c r="F20" s="709"/>
      <c r="G20" s="709"/>
      <c r="H20" s="709"/>
      <c r="I20" s="709"/>
    </row>
    <row r="21" spans="1:9" ht="15.75">
      <c r="A21" s="449">
        <v>10</v>
      </c>
      <c r="B21" s="450" t="s">
        <v>45</v>
      </c>
      <c r="C21" s="709"/>
      <c r="D21" s="709"/>
      <c r="E21" s="709"/>
      <c r="F21" s="709"/>
      <c r="G21" s="709"/>
      <c r="H21" s="709"/>
      <c r="I21" s="709"/>
    </row>
    <row r="22" spans="1:9" ht="15.75">
      <c r="A22" s="580" t="s">
        <v>34</v>
      </c>
      <c r="B22" s="454" t="s">
        <v>154</v>
      </c>
      <c r="C22" s="709"/>
      <c r="D22" s="709"/>
      <c r="E22" s="709"/>
      <c r="F22" s="709"/>
      <c r="G22" s="709"/>
      <c r="H22" s="709"/>
      <c r="I22" s="709"/>
    </row>
    <row r="23" spans="1:9" s="473" customFormat="1" ht="15.75">
      <c r="A23" s="447"/>
      <c r="B23" s="448" t="s">
        <v>35</v>
      </c>
      <c r="C23" s="710"/>
      <c r="D23" s="710"/>
      <c r="E23" s="710"/>
      <c r="F23" s="710"/>
      <c r="G23" s="710"/>
      <c r="H23" s="710"/>
      <c r="I23" s="710"/>
    </row>
    <row r="24" spans="1:9" ht="15.75">
      <c r="A24" s="449">
        <v>1</v>
      </c>
      <c r="B24" s="450" t="s">
        <v>36</v>
      </c>
      <c r="C24" s="709"/>
      <c r="D24" s="709"/>
      <c r="E24" s="709"/>
      <c r="F24" s="709"/>
      <c r="G24" s="709"/>
      <c r="H24" s="709"/>
      <c r="I24" s="709"/>
    </row>
    <row r="25" spans="1:9" ht="15.75">
      <c r="A25" s="449">
        <v>2</v>
      </c>
      <c r="B25" s="450" t="s">
        <v>37</v>
      </c>
      <c r="C25" s="709"/>
      <c r="D25" s="709"/>
      <c r="E25" s="709"/>
      <c r="F25" s="709"/>
      <c r="G25" s="709"/>
      <c r="H25" s="709"/>
      <c r="I25" s="709"/>
    </row>
    <row r="26" spans="1:9" ht="15.75">
      <c r="A26" s="449">
        <v>3</v>
      </c>
      <c r="B26" s="450" t="s">
        <v>38</v>
      </c>
      <c r="C26" s="709"/>
      <c r="D26" s="709"/>
      <c r="E26" s="709"/>
      <c r="F26" s="709"/>
      <c r="G26" s="709"/>
      <c r="H26" s="709"/>
      <c r="I26" s="709"/>
    </row>
    <row r="27" spans="1:9" ht="15.75">
      <c r="A27" s="449">
        <v>4</v>
      </c>
      <c r="B27" s="450" t="s">
        <v>39</v>
      </c>
      <c r="C27" s="711">
        <f>C28+C29</f>
        <v>0</v>
      </c>
      <c r="D27" s="692">
        <f aca="true" t="shared" si="0" ref="D27:I27">D28+D29</f>
        <v>70754</v>
      </c>
      <c r="E27" s="692">
        <f t="shared" si="0"/>
        <v>70754</v>
      </c>
      <c r="F27" s="692">
        <f t="shared" si="0"/>
        <v>70754</v>
      </c>
      <c r="G27" s="712">
        <f t="shared" si="0"/>
        <v>35962.126000000004</v>
      </c>
      <c r="H27" s="711">
        <f t="shared" si="0"/>
        <v>0</v>
      </c>
      <c r="I27" s="712">
        <f t="shared" si="0"/>
        <v>34791.873999999996</v>
      </c>
    </row>
    <row r="28" spans="1:9" ht="15.75">
      <c r="A28" s="449" t="s">
        <v>213</v>
      </c>
      <c r="B28" s="450" t="s">
        <v>182</v>
      </c>
      <c r="C28" s="711">
        <v>0</v>
      </c>
      <c r="D28" s="713">
        <f>'PL 04'!D10</f>
        <v>57689</v>
      </c>
      <c r="E28" s="713">
        <f>'PL 04'!E10</f>
        <v>57689</v>
      </c>
      <c r="F28" s="713">
        <f>'PL 04'!F10</f>
        <v>57689</v>
      </c>
      <c r="G28" s="714">
        <f>'PL 04'!G10</f>
        <v>32041.741</v>
      </c>
      <c r="H28" s="713">
        <f>'PL 04'!H10</f>
        <v>0</v>
      </c>
      <c r="I28" s="714">
        <f>'PL 04'!I10</f>
        <v>25647.259</v>
      </c>
    </row>
    <row r="29" spans="1:9" ht="15.75">
      <c r="A29" s="449" t="s">
        <v>214</v>
      </c>
      <c r="B29" s="450" t="s">
        <v>190</v>
      </c>
      <c r="C29" s="711">
        <v>0</v>
      </c>
      <c r="D29" s="713">
        <f>'PL 04'!D17</f>
        <v>13065</v>
      </c>
      <c r="E29" s="713">
        <f>'PL 04'!E17</f>
        <v>13065</v>
      </c>
      <c r="F29" s="713">
        <f>'PL 04'!F17</f>
        <v>13065</v>
      </c>
      <c r="G29" s="714">
        <f>'PL 04'!G17</f>
        <v>3920.385</v>
      </c>
      <c r="H29" s="713">
        <f>'PL 04'!H17</f>
        <v>0</v>
      </c>
      <c r="I29" s="714">
        <f>'PL 04'!I17</f>
        <v>9144.615</v>
      </c>
    </row>
    <row r="30" spans="1:9" ht="15.75">
      <c r="A30" s="449">
        <v>5</v>
      </c>
      <c r="B30" s="450" t="s">
        <v>40</v>
      </c>
      <c r="C30" s="709"/>
      <c r="D30" s="709"/>
      <c r="E30" s="709"/>
      <c r="F30" s="709"/>
      <c r="G30" s="692"/>
      <c r="H30" s="709"/>
      <c r="I30" s="715"/>
    </row>
    <row r="31" spans="1:9" ht="15.75">
      <c r="A31" s="449">
        <v>6</v>
      </c>
      <c r="B31" s="450" t="s">
        <v>41</v>
      </c>
      <c r="C31" s="709"/>
      <c r="D31" s="709"/>
      <c r="E31" s="709"/>
      <c r="F31" s="709"/>
      <c r="G31" s="715"/>
      <c r="H31" s="709"/>
      <c r="I31" s="715"/>
    </row>
    <row r="32" spans="1:9" ht="15.75">
      <c r="A32" s="449">
        <v>7</v>
      </c>
      <c r="B32" s="450" t="s">
        <v>42</v>
      </c>
      <c r="C32" s="709"/>
      <c r="D32" s="709"/>
      <c r="E32" s="709"/>
      <c r="F32" s="709"/>
      <c r="G32" s="715"/>
      <c r="H32" s="709"/>
      <c r="I32" s="715"/>
    </row>
    <row r="33" spans="1:9" ht="15.75">
      <c r="A33" s="449">
        <v>8</v>
      </c>
      <c r="B33" s="450" t="s">
        <v>43</v>
      </c>
      <c r="C33" s="709"/>
      <c r="D33" s="709"/>
      <c r="E33" s="709"/>
      <c r="F33" s="709"/>
      <c r="G33" s="715"/>
      <c r="H33" s="709"/>
      <c r="I33" s="715"/>
    </row>
    <row r="34" spans="1:9" ht="15.75">
      <c r="A34" s="449">
        <v>9</v>
      </c>
      <c r="B34" s="450" t="s">
        <v>44</v>
      </c>
      <c r="C34" s="709"/>
      <c r="D34" s="709"/>
      <c r="E34" s="709"/>
      <c r="F34" s="709"/>
      <c r="G34" s="715"/>
      <c r="H34" s="709"/>
      <c r="I34" s="715"/>
    </row>
    <row r="35" spans="1:9" ht="15.75">
      <c r="A35" s="449">
        <v>10</v>
      </c>
      <c r="B35" s="450" t="s">
        <v>45</v>
      </c>
      <c r="C35" s="709"/>
      <c r="D35" s="709"/>
      <c r="E35" s="709"/>
      <c r="F35" s="709"/>
      <c r="G35" s="715"/>
      <c r="H35" s="709"/>
      <c r="I35" s="715"/>
    </row>
    <row r="36" spans="1:9" ht="15.75">
      <c r="A36" s="580" t="s">
        <v>171</v>
      </c>
      <c r="B36" s="454" t="s">
        <v>172</v>
      </c>
      <c r="C36" s="709"/>
      <c r="D36" s="709"/>
      <c r="E36" s="709"/>
      <c r="F36" s="709"/>
      <c r="G36" s="715"/>
      <c r="H36" s="709"/>
      <c r="I36" s="715"/>
    </row>
    <row r="37" spans="1:9" s="473" customFormat="1" ht="15.75">
      <c r="A37" s="447"/>
      <c r="B37" s="448" t="s">
        <v>35</v>
      </c>
      <c r="C37" s="710"/>
      <c r="D37" s="710"/>
      <c r="E37" s="710"/>
      <c r="F37" s="710"/>
      <c r="G37" s="715"/>
      <c r="H37" s="710"/>
      <c r="I37" s="715"/>
    </row>
    <row r="38" spans="1:9" ht="15.75">
      <c r="A38" s="449">
        <v>1</v>
      </c>
      <c r="B38" s="450" t="s">
        <v>36</v>
      </c>
      <c r="C38" s="709"/>
      <c r="D38" s="709"/>
      <c r="E38" s="709"/>
      <c r="F38" s="709"/>
      <c r="G38" s="715"/>
      <c r="H38" s="709"/>
      <c r="I38" s="715"/>
    </row>
    <row r="39" spans="1:9" ht="15.75">
      <c r="A39" s="449">
        <v>2</v>
      </c>
      <c r="B39" s="450" t="s">
        <v>37</v>
      </c>
      <c r="C39" s="709"/>
      <c r="D39" s="709"/>
      <c r="E39" s="709"/>
      <c r="F39" s="709"/>
      <c r="G39" s="715"/>
      <c r="H39" s="709"/>
      <c r="I39" s="715"/>
    </row>
    <row r="40" spans="1:9" ht="15.75">
      <c r="A40" s="449">
        <v>3</v>
      </c>
      <c r="B40" s="450" t="s">
        <v>38</v>
      </c>
      <c r="C40" s="709"/>
      <c r="D40" s="709"/>
      <c r="E40" s="709"/>
      <c r="F40" s="709"/>
      <c r="G40" s="715"/>
      <c r="H40" s="709"/>
      <c r="I40" s="715"/>
    </row>
    <row r="41" spans="1:9" ht="15.75">
      <c r="A41" s="449">
        <v>4</v>
      </c>
      <c r="B41" s="450" t="s">
        <v>39</v>
      </c>
      <c r="C41" s="711">
        <f aca="true" t="shared" si="1" ref="C41:I42">C27</f>
        <v>0</v>
      </c>
      <c r="D41" s="692">
        <f t="shared" si="1"/>
        <v>70754</v>
      </c>
      <c r="E41" s="692">
        <f t="shared" si="1"/>
        <v>70754</v>
      </c>
      <c r="F41" s="692">
        <f t="shared" si="1"/>
        <v>70754</v>
      </c>
      <c r="G41" s="716">
        <f t="shared" si="1"/>
        <v>35962.126000000004</v>
      </c>
      <c r="H41" s="716">
        <f t="shared" si="1"/>
        <v>0</v>
      </c>
      <c r="I41" s="716">
        <f t="shared" si="1"/>
        <v>34791.873999999996</v>
      </c>
    </row>
    <row r="42" spans="1:9" ht="15.75">
      <c r="A42" s="449" t="s">
        <v>213</v>
      </c>
      <c r="B42" s="450" t="s">
        <v>182</v>
      </c>
      <c r="C42" s="711">
        <f t="shared" si="1"/>
        <v>0</v>
      </c>
      <c r="D42" s="692">
        <f t="shared" si="1"/>
        <v>57689</v>
      </c>
      <c r="E42" s="692">
        <f t="shared" si="1"/>
        <v>57689</v>
      </c>
      <c r="F42" s="692">
        <f t="shared" si="1"/>
        <v>57689</v>
      </c>
      <c r="G42" s="716">
        <f t="shared" si="1"/>
        <v>32041.741</v>
      </c>
      <c r="H42" s="716">
        <f t="shared" si="1"/>
        <v>0</v>
      </c>
      <c r="I42" s="716">
        <f t="shared" si="1"/>
        <v>25647.259</v>
      </c>
    </row>
    <row r="43" spans="1:9" ht="15.75">
      <c r="A43" s="449" t="s">
        <v>214</v>
      </c>
      <c r="B43" s="450" t="s">
        <v>190</v>
      </c>
      <c r="C43" s="711">
        <f>C29</f>
        <v>0</v>
      </c>
      <c r="D43" s="692">
        <f aca="true" t="shared" si="2" ref="D43:I43">D29</f>
        <v>13065</v>
      </c>
      <c r="E43" s="692">
        <f t="shared" si="2"/>
        <v>13065</v>
      </c>
      <c r="F43" s="692">
        <f t="shared" si="2"/>
        <v>13065</v>
      </c>
      <c r="G43" s="716">
        <f t="shared" si="2"/>
        <v>3920.385</v>
      </c>
      <c r="H43" s="716">
        <f t="shared" si="2"/>
        <v>0</v>
      </c>
      <c r="I43" s="716">
        <f t="shared" si="2"/>
        <v>9144.615</v>
      </c>
    </row>
    <row r="44" spans="1:9" ht="15.75">
      <c r="A44" s="449">
        <v>5</v>
      </c>
      <c r="B44" s="450" t="s">
        <v>40</v>
      </c>
      <c r="C44" s="706"/>
      <c r="D44" s="706"/>
      <c r="E44" s="706"/>
      <c r="F44" s="706"/>
      <c r="G44" s="706"/>
      <c r="H44" s="706"/>
      <c r="I44" s="706"/>
    </row>
    <row r="45" spans="1:9" ht="15.75">
      <c r="A45" s="449">
        <v>6</v>
      </c>
      <c r="B45" s="450" t="s">
        <v>41</v>
      </c>
      <c r="C45" s="706"/>
      <c r="D45" s="706"/>
      <c r="E45" s="706"/>
      <c r="F45" s="706"/>
      <c r="G45" s="706"/>
      <c r="H45" s="706"/>
      <c r="I45" s="706"/>
    </row>
    <row r="46" spans="1:9" ht="15.75">
      <c r="A46" s="449">
        <v>7</v>
      </c>
      <c r="B46" s="450" t="s">
        <v>42</v>
      </c>
      <c r="C46" s="706"/>
      <c r="D46" s="706"/>
      <c r="E46" s="706"/>
      <c r="F46" s="706"/>
      <c r="G46" s="706"/>
      <c r="H46" s="706"/>
      <c r="I46" s="706"/>
    </row>
    <row r="47" spans="1:9" ht="15.75">
      <c r="A47" s="449">
        <v>8</v>
      </c>
      <c r="B47" s="450" t="s">
        <v>43</v>
      </c>
      <c r="C47" s="706"/>
      <c r="D47" s="706"/>
      <c r="E47" s="706"/>
      <c r="F47" s="706"/>
      <c r="G47" s="706"/>
      <c r="H47" s="706"/>
      <c r="I47" s="706"/>
    </row>
    <row r="48" spans="1:9" ht="15.75">
      <c r="A48" s="449">
        <v>9</v>
      </c>
      <c r="B48" s="450" t="s">
        <v>44</v>
      </c>
      <c r="C48" s="706"/>
      <c r="D48" s="706"/>
      <c r="E48" s="706"/>
      <c r="F48" s="706"/>
      <c r="G48" s="706"/>
      <c r="H48" s="706"/>
      <c r="I48" s="706"/>
    </row>
    <row r="49" spans="1:9" ht="15.75">
      <c r="A49" s="449">
        <v>10</v>
      </c>
      <c r="B49" s="450" t="s">
        <v>45</v>
      </c>
      <c r="C49" s="706"/>
      <c r="D49" s="706"/>
      <c r="E49" s="706"/>
      <c r="F49" s="706"/>
      <c r="G49" s="706"/>
      <c r="H49" s="706"/>
      <c r="I49" s="706"/>
    </row>
    <row r="51" spans="1:9" ht="15.75">
      <c r="A51" s="717" t="s">
        <v>238</v>
      </c>
      <c r="B51" s="717"/>
      <c r="C51" s="717"/>
      <c r="D51" s="717"/>
      <c r="E51" s="717"/>
      <c r="F51" s="717"/>
      <c r="G51" s="717"/>
      <c r="H51" s="717"/>
      <c r="I51" s="717"/>
    </row>
  </sheetData>
  <sheetProtection/>
  <mergeCells count="15">
    <mergeCell ref="A1:C1"/>
    <mergeCell ref="H1:I1"/>
    <mergeCell ref="A2:C2"/>
    <mergeCell ref="A3:I3"/>
    <mergeCell ref="A4:I4"/>
    <mergeCell ref="H6:I6"/>
    <mergeCell ref="A51:I51"/>
    <mergeCell ref="H7:H8"/>
    <mergeCell ref="I7:I8"/>
    <mergeCell ref="A7:A8"/>
    <mergeCell ref="C7:C8"/>
    <mergeCell ref="D7:D8"/>
    <mergeCell ref="E7:E8"/>
    <mergeCell ref="F7:F8"/>
    <mergeCell ref="G7:G8"/>
  </mergeCells>
  <printOptions horizontalCentered="1"/>
  <pageMargins left="0" right="0" top="0" bottom="0" header="0" footer="0"/>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I65"/>
  <sheetViews>
    <sheetView showZeros="0" view="pageBreakPreview" zoomScale="85" zoomScaleNormal="85" zoomScaleSheetLayoutView="85" zoomScalePageLayoutView="0" workbookViewId="0" topLeftCell="A4">
      <pane ySplit="6" topLeftCell="A10" activePane="bottomLeft" state="frozen"/>
      <selection pane="topLeft" activeCell="A4" sqref="A4"/>
      <selection pane="bottomLeft" activeCell="L12" sqref="L12"/>
    </sheetView>
  </sheetViews>
  <sheetFormatPr defaultColWidth="9.140625" defaultRowHeight="12.75"/>
  <cols>
    <col min="1" max="1" width="4.8515625" style="442" customWidth="1"/>
    <col min="2" max="2" width="23.00390625" style="442" customWidth="1"/>
    <col min="3" max="9" width="16.57421875" style="440" customWidth="1"/>
    <col min="10" max="16384" width="9.140625" style="442" customWidth="1"/>
  </cols>
  <sheetData>
    <row r="1" spans="1:9" s="445" customFormat="1" ht="14.25">
      <c r="A1" s="592" t="s">
        <v>156</v>
      </c>
      <c r="B1" s="592"/>
      <c r="C1" s="592"/>
      <c r="D1" s="453"/>
      <c r="E1" s="453"/>
      <c r="F1" s="453"/>
      <c r="G1" s="453"/>
      <c r="H1" s="596" t="s">
        <v>173</v>
      </c>
      <c r="I1" s="596"/>
    </row>
    <row r="2" spans="1:9" s="445" customFormat="1" ht="14.25">
      <c r="A2" s="592" t="s">
        <v>309</v>
      </c>
      <c r="B2" s="592"/>
      <c r="C2" s="592"/>
      <c r="D2" s="453"/>
      <c r="E2" s="453"/>
      <c r="F2" s="453"/>
      <c r="G2" s="453"/>
      <c r="H2" s="453"/>
      <c r="I2" s="453"/>
    </row>
    <row r="3" spans="1:9" ht="26.25" customHeight="1">
      <c r="A3" s="592" t="s">
        <v>174</v>
      </c>
      <c r="B3" s="592"/>
      <c r="C3" s="592"/>
      <c r="D3" s="592"/>
      <c r="E3" s="592"/>
      <c r="F3" s="592"/>
      <c r="G3" s="592"/>
      <c r="H3" s="592"/>
      <c r="I3" s="592"/>
    </row>
    <row r="4" spans="1:9" ht="20.25" customHeight="1">
      <c r="A4" s="592" t="s">
        <v>161</v>
      </c>
      <c r="B4" s="592"/>
      <c r="C4" s="592"/>
      <c r="D4" s="592"/>
      <c r="E4" s="592"/>
      <c r="F4" s="592"/>
      <c r="G4" s="592"/>
      <c r="H4" s="592"/>
      <c r="I4" s="592"/>
    </row>
    <row r="6" spans="1:9" ht="15.75">
      <c r="A6" s="268"/>
      <c r="B6" s="268"/>
      <c r="C6" s="697"/>
      <c r="D6" s="697"/>
      <c r="E6" s="697"/>
      <c r="F6" s="697"/>
      <c r="G6" s="697"/>
      <c r="H6" s="698" t="s">
        <v>311</v>
      </c>
      <c r="I6" s="698"/>
    </row>
    <row r="7" spans="1:9" s="443" customFormat="1" ht="35.25" customHeight="1">
      <c r="A7" s="699" t="s">
        <v>150</v>
      </c>
      <c r="B7" s="700" t="s">
        <v>175</v>
      </c>
      <c r="C7" s="637" t="s">
        <v>176</v>
      </c>
      <c r="D7" s="637" t="s">
        <v>177</v>
      </c>
      <c r="E7" s="637" t="s">
        <v>237</v>
      </c>
      <c r="F7" s="637" t="s">
        <v>178</v>
      </c>
      <c r="G7" s="637" t="s">
        <v>179</v>
      </c>
      <c r="H7" s="637" t="s">
        <v>180</v>
      </c>
      <c r="I7" s="637" t="s">
        <v>181</v>
      </c>
    </row>
    <row r="8" spans="1:9" s="444" customFormat="1" ht="33.75" customHeight="1">
      <c r="A8" s="702"/>
      <c r="B8" s="703" t="s">
        <v>151</v>
      </c>
      <c r="C8" s="639"/>
      <c r="D8" s="639"/>
      <c r="E8" s="639"/>
      <c r="F8" s="639"/>
      <c r="G8" s="639"/>
      <c r="H8" s="639"/>
      <c r="I8" s="639"/>
    </row>
    <row r="9" spans="1:9" s="452" customFormat="1" ht="15">
      <c r="A9" s="581" t="s">
        <v>21</v>
      </c>
      <c r="B9" s="581" t="s">
        <v>22</v>
      </c>
      <c r="C9" s="704">
        <v>1</v>
      </c>
      <c r="D9" s="704">
        <v>2</v>
      </c>
      <c r="E9" s="704" t="s">
        <v>169</v>
      </c>
      <c r="F9" s="704">
        <v>4</v>
      </c>
      <c r="G9" s="704">
        <v>5</v>
      </c>
      <c r="H9" s="704">
        <v>6</v>
      </c>
      <c r="I9" s="704" t="s">
        <v>170</v>
      </c>
    </row>
    <row r="10" spans="1:9" s="473" customFormat="1" ht="22.5" customHeight="1">
      <c r="A10" s="447" t="s">
        <v>21</v>
      </c>
      <c r="B10" s="448" t="s">
        <v>182</v>
      </c>
      <c r="C10" s="733">
        <v>0</v>
      </c>
      <c r="D10" s="732">
        <f aca="true" t="shared" si="0" ref="D10:I10">D13</f>
        <v>57689</v>
      </c>
      <c r="E10" s="732">
        <f t="shared" si="0"/>
        <v>57689</v>
      </c>
      <c r="F10" s="732">
        <f t="shared" si="0"/>
        <v>57689</v>
      </c>
      <c r="G10" s="732">
        <f t="shared" si="0"/>
        <v>32041.741</v>
      </c>
      <c r="H10" s="733">
        <f t="shared" si="0"/>
        <v>0</v>
      </c>
      <c r="I10" s="732">
        <f t="shared" si="0"/>
        <v>25647.259</v>
      </c>
    </row>
    <row r="11" spans="1:9" ht="56.25" customHeight="1">
      <c r="A11" s="718">
        <v>1</v>
      </c>
      <c r="B11" s="719" t="s">
        <v>183</v>
      </c>
      <c r="C11" s="733"/>
      <c r="D11" s="731"/>
      <c r="E11" s="731"/>
      <c r="F11" s="731"/>
      <c r="G11" s="731"/>
      <c r="H11" s="731"/>
      <c r="I11" s="731"/>
    </row>
    <row r="12" spans="1:9" ht="61.5" customHeight="1">
      <c r="A12" s="720"/>
      <c r="B12" s="721" t="s">
        <v>185</v>
      </c>
      <c r="C12" s="733"/>
      <c r="D12" s="731"/>
      <c r="E12" s="731"/>
      <c r="F12" s="731"/>
      <c r="G12" s="731"/>
      <c r="H12" s="731"/>
      <c r="I12" s="731"/>
    </row>
    <row r="13" spans="1:9" ht="63" customHeight="1">
      <c r="A13" s="720"/>
      <c r="B13" s="721" t="s">
        <v>184</v>
      </c>
      <c r="C13" s="733">
        <v>0</v>
      </c>
      <c r="D13" s="732">
        <v>57689</v>
      </c>
      <c r="E13" s="732">
        <v>57689</v>
      </c>
      <c r="F13" s="732">
        <v>57689</v>
      </c>
      <c r="G13" s="732">
        <v>32041.741</v>
      </c>
      <c r="H13" s="732">
        <v>0</v>
      </c>
      <c r="I13" s="732">
        <f>E13-G13-H13</f>
        <v>25647.259</v>
      </c>
    </row>
    <row r="14" spans="1:9" ht="36">
      <c r="A14" s="541">
        <v>2</v>
      </c>
      <c r="B14" s="722" t="s">
        <v>186</v>
      </c>
      <c r="C14" s="731"/>
      <c r="D14" s="731"/>
      <c r="E14" s="731"/>
      <c r="F14" s="731"/>
      <c r="G14" s="731"/>
      <c r="H14" s="731"/>
      <c r="I14" s="731"/>
    </row>
    <row r="15" spans="1:9" ht="33.75" customHeight="1">
      <c r="A15" s="547"/>
      <c r="B15" s="723" t="s">
        <v>187</v>
      </c>
      <c r="C15" s="731"/>
      <c r="D15" s="731"/>
      <c r="E15" s="731"/>
      <c r="F15" s="731"/>
      <c r="G15" s="731"/>
      <c r="H15" s="731"/>
      <c r="I15" s="731"/>
    </row>
    <row r="16" spans="1:9" ht="33.75" customHeight="1">
      <c r="A16" s="547"/>
      <c r="B16" s="723" t="s">
        <v>189</v>
      </c>
      <c r="C16" s="731"/>
      <c r="D16" s="731"/>
      <c r="E16" s="731"/>
      <c r="F16" s="731"/>
      <c r="G16" s="731"/>
      <c r="H16" s="731"/>
      <c r="I16" s="731"/>
    </row>
    <row r="17" spans="1:9" s="473" customFormat="1" ht="27" customHeight="1">
      <c r="A17" s="447" t="s">
        <v>22</v>
      </c>
      <c r="B17" s="448" t="s">
        <v>190</v>
      </c>
      <c r="C17" s="732">
        <f>C18+C21+C22+C25+C29+C30+C33</f>
        <v>0</v>
      </c>
      <c r="D17" s="732">
        <f aca="true" t="shared" si="1" ref="D17:I17">D18+D21+D22+D25+D29+D30+D33</f>
        <v>13065</v>
      </c>
      <c r="E17" s="732">
        <f t="shared" si="1"/>
        <v>13065</v>
      </c>
      <c r="F17" s="732">
        <f t="shared" si="1"/>
        <v>13065</v>
      </c>
      <c r="G17" s="732">
        <f t="shared" si="1"/>
        <v>3920.385</v>
      </c>
      <c r="H17" s="732">
        <f t="shared" si="1"/>
        <v>0</v>
      </c>
      <c r="I17" s="732">
        <f t="shared" si="1"/>
        <v>9144.615</v>
      </c>
    </row>
    <row r="18" spans="1:9" ht="56.25" customHeight="1">
      <c r="A18" s="718">
        <v>1</v>
      </c>
      <c r="B18" s="719" t="s">
        <v>183</v>
      </c>
      <c r="C18" s="732">
        <f>C19</f>
        <v>0</v>
      </c>
      <c r="D18" s="732">
        <f aca="true" t="shared" si="2" ref="D18:I18">D19</f>
        <v>2031</v>
      </c>
      <c r="E18" s="732">
        <f t="shared" si="2"/>
        <v>2031</v>
      </c>
      <c r="F18" s="732">
        <f t="shared" si="2"/>
        <v>2031</v>
      </c>
      <c r="G18" s="731">
        <f t="shared" si="2"/>
        <v>2016.76</v>
      </c>
      <c r="H18" s="732">
        <f t="shared" si="2"/>
        <v>0</v>
      </c>
      <c r="I18" s="731">
        <f t="shared" si="2"/>
        <v>14.240000000000009</v>
      </c>
    </row>
    <row r="19" spans="1:9" ht="61.5" customHeight="1">
      <c r="A19" s="720"/>
      <c r="B19" s="721" t="s">
        <v>185</v>
      </c>
      <c r="C19" s="732">
        <v>0</v>
      </c>
      <c r="D19" s="732">
        <v>2031</v>
      </c>
      <c r="E19" s="732">
        <v>2031</v>
      </c>
      <c r="F19" s="732">
        <v>2031</v>
      </c>
      <c r="G19" s="732">
        <v>2016.76</v>
      </c>
      <c r="H19" s="732">
        <v>0</v>
      </c>
      <c r="I19" s="732">
        <f>E19-G19-H19</f>
        <v>14.240000000000009</v>
      </c>
    </row>
    <row r="20" spans="1:9" ht="67.5" customHeight="1">
      <c r="A20" s="720"/>
      <c r="B20" s="721" t="s">
        <v>184</v>
      </c>
      <c r="C20" s="731"/>
      <c r="D20" s="732"/>
      <c r="E20" s="732"/>
      <c r="F20" s="732"/>
      <c r="G20" s="731"/>
      <c r="H20" s="731"/>
      <c r="I20" s="731"/>
    </row>
    <row r="21" spans="1:9" ht="45.75" customHeight="1">
      <c r="A21" s="724">
        <v>2</v>
      </c>
      <c r="B21" s="722" t="s">
        <v>191</v>
      </c>
      <c r="C21" s="732">
        <v>0</v>
      </c>
      <c r="D21" s="732">
        <v>4550</v>
      </c>
      <c r="E21" s="732">
        <v>4550</v>
      </c>
      <c r="F21" s="732">
        <v>4550</v>
      </c>
      <c r="G21" s="732">
        <v>0</v>
      </c>
      <c r="H21" s="732">
        <v>0</v>
      </c>
      <c r="I21" s="732">
        <f>E21-G21-H21</f>
        <v>4550</v>
      </c>
    </row>
    <row r="22" spans="1:9" ht="30" customHeight="1">
      <c r="A22" s="724">
        <v>3</v>
      </c>
      <c r="B22" s="722" t="s">
        <v>192</v>
      </c>
      <c r="C22" s="732">
        <f aca="true" t="shared" si="3" ref="C22:H22">C23+C24</f>
        <v>0</v>
      </c>
      <c r="D22" s="732">
        <f t="shared" si="3"/>
        <v>1928</v>
      </c>
      <c r="E22" s="732">
        <f t="shared" si="3"/>
        <v>1928</v>
      </c>
      <c r="F22" s="732">
        <f t="shared" si="3"/>
        <v>1928</v>
      </c>
      <c r="G22" s="732">
        <f t="shared" si="3"/>
        <v>0</v>
      </c>
      <c r="H22" s="732">
        <f t="shared" si="3"/>
        <v>0</v>
      </c>
      <c r="I22" s="732">
        <f>E22-G22-H22</f>
        <v>1928</v>
      </c>
    </row>
    <row r="23" spans="1:9" ht="42.75" customHeight="1">
      <c r="A23" s="725"/>
      <c r="B23" s="723" t="s">
        <v>193</v>
      </c>
      <c r="C23" s="732">
        <v>0</v>
      </c>
      <c r="D23" s="732">
        <v>1928</v>
      </c>
      <c r="E23" s="732">
        <v>1928</v>
      </c>
      <c r="F23" s="732">
        <v>1928</v>
      </c>
      <c r="G23" s="732">
        <v>0</v>
      </c>
      <c r="H23" s="732">
        <v>0</v>
      </c>
      <c r="I23" s="732">
        <f aca="true" t="shared" si="4" ref="I23:I35">E23-G23-H23</f>
        <v>1928</v>
      </c>
    </row>
    <row r="24" spans="1:9" ht="28.5" customHeight="1">
      <c r="A24" s="725"/>
      <c r="B24" s="723" t="s">
        <v>194</v>
      </c>
      <c r="C24" s="732">
        <v>0</v>
      </c>
      <c r="D24" s="732">
        <v>0</v>
      </c>
      <c r="E24" s="732">
        <v>0</v>
      </c>
      <c r="F24" s="732">
        <v>0</v>
      </c>
      <c r="G24" s="732">
        <v>0</v>
      </c>
      <c r="H24" s="732">
        <v>0</v>
      </c>
      <c r="I24" s="732">
        <f t="shared" si="4"/>
        <v>0</v>
      </c>
    </row>
    <row r="25" spans="1:9" ht="36">
      <c r="A25" s="541">
        <v>4</v>
      </c>
      <c r="B25" s="722" t="s">
        <v>186</v>
      </c>
      <c r="C25" s="732">
        <f aca="true" t="shared" si="5" ref="C25:H25">C26+C27+C28</f>
        <v>0</v>
      </c>
      <c r="D25" s="732">
        <f t="shared" si="5"/>
        <v>3080</v>
      </c>
      <c r="E25" s="732">
        <f t="shared" si="5"/>
        <v>3080</v>
      </c>
      <c r="F25" s="732">
        <f t="shared" si="5"/>
        <v>3080</v>
      </c>
      <c r="G25" s="732">
        <f t="shared" si="5"/>
        <v>1015</v>
      </c>
      <c r="H25" s="732">
        <f t="shared" si="5"/>
        <v>0</v>
      </c>
      <c r="I25" s="732">
        <f t="shared" si="4"/>
        <v>2065</v>
      </c>
    </row>
    <row r="26" spans="1:9" ht="34.5" customHeight="1">
      <c r="A26" s="547"/>
      <c r="B26" s="723" t="s">
        <v>187</v>
      </c>
      <c r="C26" s="732">
        <v>0</v>
      </c>
      <c r="D26" s="732">
        <v>2353</v>
      </c>
      <c r="E26" s="732">
        <v>2353</v>
      </c>
      <c r="F26" s="732">
        <v>2353</v>
      </c>
      <c r="G26" s="732">
        <v>1015</v>
      </c>
      <c r="H26" s="732">
        <v>0</v>
      </c>
      <c r="I26" s="732">
        <f t="shared" si="4"/>
        <v>1338</v>
      </c>
    </row>
    <row r="27" spans="1:9" ht="36">
      <c r="A27" s="547"/>
      <c r="B27" s="723" t="s">
        <v>188</v>
      </c>
      <c r="C27" s="732">
        <v>0</v>
      </c>
      <c r="D27" s="732">
        <v>284</v>
      </c>
      <c r="E27" s="732">
        <v>284</v>
      </c>
      <c r="F27" s="732">
        <v>284</v>
      </c>
      <c r="G27" s="732">
        <v>0</v>
      </c>
      <c r="H27" s="732">
        <v>0</v>
      </c>
      <c r="I27" s="732">
        <f t="shared" si="4"/>
        <v>284</v>
      </c>
    </row>
    <row r="28" spans="1:9" ht="30" customHeight="1">
      <c r="A28" s="547"/>
      <c r="B28" s="723" t="s">
        <v>189</v>
      </c>
      <c r="C28" s="732">
        <v>0</v>
      </c>
      <c r="D28" s="732">
        <v>443</v>
      </c>
      <c r="E28" s="732">
        <v>443</v>
      </c>
      <c r="F28" s="732">
        <v>443</v>
      </c>
      <c r="G28" s="732">
        <v>0</v>
      </c>
      <c r="H28" s="732">
        <v>0</v>
      </c>
      <c r="I28" s="732">
        <f t="shared" si="4"/>
        <v>443</v>
      </c>
    </row>
    <row r="29" spans="1:9" ht="36">
      <c r="A29" s="552">
        <v>5</v>
      </c>
      <c r="B29" s="726" t="s">
        <v>195</v>
      </c>
      <c r="C29" s="732">
        <v>0</v>
      </c>
      <c r="D29" s="732">
        <v>0</v>
      </c>
      <c r="E29" s="732">
        <v>0</v>
      </c>
      <c r="F29" s="732">
        <v>0</v>
      </c>
      <c r="G29" s="732">
        <v>0</v>
      </c>
      <c r="H29" s="732">
        <v>0</v>
      </c>
      <c r="I29" s="732">
        <f t="shared" si="4"/>
        <v>0</v>
      </c>
    </row>
    <row r="30" spans="1:9" ht="24">
      <c r="A30" s="724">
        <v>6</v>
      </c>
      <c r="B30" s="726" t="s">
        <v>196</v>
      </c>
      <c r="C30" s="732">
        <f aca="true" t="shared" si="6" ref="C30:H30">C31+C32</f>
        <v>0</v>
      </c>
      <c r="D30" s="732">
        <f t="shared" si="6"/>
        <v>459</v>
      </c>
      <c r="E30" s="732">
        <f t="shared" si="6"/>
        <v>459</v>
      </c>
      <c r="F30" s="732">
        <f t="shared" si="6"/>
        <v>459</v>
      </c>
      <c r="G30" s="732">
        <f t="shared" si="6"/>
        <v>76</v>
      </c>
      <c r="H30" s="732">
        <f t="shared" si="6"/>
        <v>0</v>
      </c>
      <c r="I30" s="732">
        <f t="shared" si="4"/>
        <v>383</v>
      </c>
    </row>
    <row r="31" spans="1:9" ht="33.75" customHeight="1">
      <c r="A31" s="725"/>
      <c r="B31" s="727" t="s">
        <v>197</v>
      </c>
      <c r="C31" s="732">
        <v>0</v>
      </c>
      <c r="D31" s="732">
        <v>381</v>
      </c>
      <c r="E31" s="732">
        <v>381</v>
      </c>
      <c r="F31" s="732">
        <v>381</v>
      </c>
      <c r="G31" s="732">
        <v>0</v>
      </c>
      <c r="H31" s="732">
        <v>0</v>
      </c>
      <c r="I31" s="732">
        <f t="shared" si="4"/>
        <v>381</v>
      </c>
    </row>
    <row r="32" spans="1:9" ht="33.75" customHeight="1">
      <c r="A32" s="725"/>
      <c r="B32" s="727" t="s">
        <v>198</v>
      </c>
      <c r="C32" s="732">
        <v>0</v>
      </c>
      <c r="D32" s="732">
        <v>78</v>
      </c>
      <c r="E32" s="732">
        <v>78</v>
      </c>
      <c r="F32" s="732">
        <v>78</v>
      </c>
      <c r="G32" s="732">
        <v>76</v>
      </c>
      <c r="H32" s="732">
        <v>0</v>
      </c>
      <c r="I32" s="732">
        <f t="shared" si="4"/>
        <v>2</v>
      </c>
    </row>
    <row r="33" spans="1:9" ht="36">
      <c r="A33" s="724">
        <v>7</v>
      </c>
      <c r="B33" s="722" t="s">
        <v>199</v>
      </c>
      <c r="C33" s="732">
        <f aca="true" t="shared" si="7" ref="C33:H33">C34+C35</f>
        <v>0</v>
      </c>
      <c r="D33" s="732">
        <f t="shared" si="7"/>
        <v>1017</v>
      </c>
      <c r="E33" s="732">
        <f t="shared" si="7"/>
        <v>1017</v>
      </c>
      <c r="F33" s="732">
        <f t="shared" si="7"/>
        <v>1017</v>
      </c>
      <c r="G33" s="732">
        <f t="shared" si="7"/>
        <v>812.625</v>
      </c>
      <c r="H33" s="732">
        <f t="shared" si="7"/>
        <v>0</v>
      </c>
      <c r="I33" s="732">
        <f t="shared" si="4"/>
        <v>204.375</v>
      </c>
    </row>
    <row r="34" spans="1:9" ht="29.25" customHeight="1">
      <c r="A34" s="728"/>
      <c r="B34" s="727" t="s">
        <v>200</v>
      </c>
      <c r="C34" s="732">
        <v>0</v>
      </c>
      <c r="D34" s="732">
        <v>665</v>
      </c>
      <c r="E34" s="732">
        <v>665</v>
      </c>
      <c r="F34" s="732">
        <v>665</v>
      </c>
      <c r="G34" s="732">
        <v>474.645</v>
      </c>
      <c r="H34" s="732">
        <v>0</v>
      </c>
      <c r="I34" s="732">
        <f t="shared" si="4"/>
        <v>190.35500000000002</v>
      </c>
    </row>
    <row r="35" spans="1:9" ht="29.25" customHeight="1">
      <c r="A35" s="728"/>
      <c r="B35" s="727" t="s">
        <v>201</v>
      </c>
      <c r="C35" s="732">
        <v>0</v>
      </c>
      <c r="D35" s="732">
        <v>352</v>
      </c>
      <c r="E35" s="732">
        <v>352</v>
      </c>
      <c r="F35" s="732">
        <v>352</v>
      </c>
      <c r="G35" s="732">
        <v>337.98</v>
      </c>
      <c r="H35" s="732">
        <v>0</v>
      </c>
      <c r="I35" s="732">
        <f t="shared" si="4"/>
        <v>14.019999999999982</v>
      </c>
    </row>
    <row r="36" spans="1:9" s="473" customFormat="1" ht="15.75">
      <c r="A36" s="447" t="s">
        <v>24</v>
      </c>
      <c r="B36" s="448" t="s">
        <v>35</v>
      </c>
      <c r="C36" s="734"/>
      <c r="D36" s="734"/>
      <c r="E36" s="734"/>
      <c r="F36" s="734"/>
      <c r="G36" s="734"/>
      <c r="H36" s="734"/>
      <c r="I36" s="734"/>
    </row>
    <row r="37" spans="1:9" s="474" customFormat="1" ht="15.75">
      <c r="A37" s="729" t="s">
        <v>202</v>
      </c>
      <c r="B37" s="730" t="s">
        <v>182</v>
      </c>
      <c r="C37" s="734"/>
      <c r="D37" s="734"/>
      <c r="E37" s="734"/>
      <c r="F37" s="734"/>
      <c r="G37" s="734"/>
      <c r="H37" s="734"/>
      <c r="I37" s="734"/>
    </row>
    <row r="38" spans="1:9" s="474" customFormat="1" ht="15.75">
      <c r="A38" s="729" t="s">
        <v>202</v>
      </c>
      <c r="B38" s="730" t="s">
        <v>190</v>
      </c>
      <c r="C38" s="734"/>
      <c r="D38" s="734"/>
      <c r="E38" s="734"/>
      <c r="F38" s="734"/>
      <c r="G38" s="734"/>
      <c r="H38" s="734"/>
      <c r="I38" s="734"/>
    </row>
    <row r="39" spans="1:9" s="456" customFormat="1" ht="15.75">
      <c r="A39" s="458">
        <v>4</v>
      </c>
      <c r="B39" s="457" t="s">
        <v>39</v>
      </c>
      <c r="C39" s="735"/>
      <c r="D39" s="735"/>
      <c r="E39" s="735"/>
      <c r="F39" s="735"/>
      <c r="G39" s="735"/>
      <c r="H39" s="735"/>
      <c r="I39" s="735"/>
    </row>
    <row r="40" spans="1:9" s="446" customFormat="1" ht="16.5" customHeight="1">
      <c r="A40" s="460" t="s">
        <v>213</v>
      </c>
      <c r="B40" s="448" t="s">
        <v>182</v>
      </c>
      <c r="C40" s="736">
        <f>C43</f>
        <v>0</v>
      </c>
      <c r="D40" s="736">
        <f aca="true" t="shared" si="8" ref="D40:I40">D43</f>
        <v>57689</v>
      </c>
      <c r="E40" s="736">
        <f t="shared" si="8"/>
        <v>57689</v>
      </c>
      <c r="F40" s="736">
        <f t="shared" si="8"/>
        <v>57689</v>
      </c>
      <c r="G40" s="736">
        <f t="shared" si="8"/>
        <v>32041.741</v>
      </c>
      <c r="H40" s="736">
        <f t="shared" si="8"/>
        <v>0</v>
      </c>
      <c r="I40" s="736">
        <f t="shared" si="8"/>
        <v>25647.259</v>
      </c>
    </row>
    <row r="41" spans="1:9" s="446" customFormat="1" ht="15.75">
      <c r="A41" s="460"/>
      <c r="B41" s="459" t="s">
        <v>203</v>
      </c>
      <c r="C41" s="734"/>
      <c r="D41" s="734"/>
      <c r="E41" s="734"/>
      <c r="F41" s="734"/>
      <c r="G41" s="734"/>
      <c r="H41" s="734"/>
      <c r="I41" s="734"/>
    </row>
    <row r="42" spans="1:9" s="446" customFormat="1" ht="15.75">
      <c r="A42" s="460"/>
      <c r="B42" s="459" t="s">
        <v>204</v>
      </c>
      <c r="C42" s="734"/>
      <c r="D42" s="734"/>
      <c r="E42" s="734"/>
      <c r="F42" s="734"/>
      <c r="G42" s="734"/>
      <c r="H42" s="734"/>
      <c r="I42" s="734"/>
    </row>
    <row r="43" spans="1:9" s="446" customFormat="1" ht="15.75">
      <c r="A43" s="460"/>
      <c r="B43" s="459" t="s">
        <v>205</v>
      </c>
      <c r="C43" s="733">
        <f>C13</f>
        <v>0</v>
      </c>
      <c r="D43" s="737">
        <f aca="true" t="shared" si="9" ref="D43:I43">D13</f>
        <v>57689</v>
      </c>
      <c r="E43" s="737">
        <f t="shared" si="9"/>
        <v>57689</v>
      </c>
      <c r="F43" s="737">
        <f t="shared" si="9"/>
        <v>57689</v>
      </c>
      <c r="G43" s="737">
        <f t="shared" si="9"/>
        <v>32041.741</v>
      </c>
      <c r="H43" s="737">
        <f t="shared" si="9"/>
        <v>0</v>
      </c>
      <c r="I43" s="737">
        <f t="shared" si="9"/>
        <v>25647.259</v>
      </c>
    </row>
    <row r="44" spans="1:9" s="446" customFormat="1" ht="15.75">
      <c r="A44" s="460"/>
      <c r="B44" s="459" t="s">
        <v>206</v>
      </c>
      <c r="C44" s="734"/>
      <c r="D44" s="734"/>
      <c r="E44" s="734"/>
      <c r="F44" s="734"/>
      <c r="G44" s="734"/>
      <c r="H44" s="734"/>
      <c r="I44" s="734"/>
    </row>
    <row r="45" spans="1:9" s="446" customFormat="1" ht="15.75">
      <c r="A45" s="460"/>
      <c r="B45" s="459" t="s">
        <v>204</v>
      </c>
      <c r="C45" s="734"/>
      <c r="D45" s="734"/>
      <c r="E45" s="734"/>
      <c r="F45" s="734"/>
      <c r="G45" s="734"/>
      <c r="H45" s="734"/>
      <c r="I45" s="734"/>
    </row>
    <row r="46" spans="1:9" s="446" customFormat="1" ht="15.75">
      <c r="A46" s="460"/>
      <c r="B46" s="459" t="s">
        <v>207</v>
      </c>
      <c r="C46" s="734"/>
      <c r="D46" s="734"/>
      <c r="E46" s="734"/>
      <c r="F46" s="734"/>
      <c r="G46" s="734"/>
      <c r="H46" s="734"/>
      <c r="I46" s="734"/>
    </row>
    <row r="47" spans="1:9" s="446" customFormat="1" ht="18" customHeight="1">
      <c r="A47" s="460" t="s">
        <v>214</v>
      </c>
      <c r="B47" s="448" t="s">
        <v>190</v>
      </c>
      <c r="C47" s="736">
        <f>C17</f>
        <v>0</v>
      </c>
      <c r="D47" s="736">
        <f aca="true" t="shared" si="10" ref="D47:I49">D17</f>
        <v>13065</v>
      </c>
      <c r="E47" s="736">
        <f t="shared" si="10"/>
        <v>13065</v>
      </c>
      <c r="F47" s="736">
        <f t="shared" si="10"/>
        <v>13065</v>
      </c>
      <c r="G47" s="736">
        <f t="shared" si="10"/>
        <v>3920.385</v>
      </c>
      <c r="H47" s="736">
        <f t="shared" si="10"/>
        <v>0</v>
      </c>
      <c r="I47" s="736">
        <f t="shared" si="10"/>
        <v>9144.615</v>
      </c>
    </row>
    <row r="48" spans="1:9" s="446" customFormat="1" ht="15.75">
      <c r="A48" s="460"/>
      <c r="B48" s="459" t="s">
        <v>203</v>
      </c>
      <c r="C48" s="734">
        <f>C18</f>
        <v>0</v>
      </c>
      <c r="D48" s="734">
        <f t="shared" si="10"/>
        <v>2031</v>
      </c>
      <c r="E48" s="734">
        <f t="shared" si="10"/>
        <v>2031</v>
      </c>
      <c r="F48" s="734">
        <f t="shared" si="10"/>
        <v>2031</v>
      </c>
      <c r="G48" s="734">
        <f t="shared" si="10"/>
        <v>2016.76</v>
      </c>
      <c r="H48" s="734">
        <f t="shared" si="10"/>
        <v>0</v>
      </c>
      <c r="I48" s="734">
        <f t="shared" si="10"/>
        <v>14.240000000000009</v>
      </c>
    </row>
    <row r="49" spans="1:9" s="446" customFormat="1" ht="15.75">
      <c r="A49" s="460"/>
      <c r="B49" s="459" t="s">
        <v>204</v>
      </c>
      <c r="C49" s="734">
        <f>C19</f>
        <v>0</v>
      </c>
      <c r="D49" s="734">
        <f t="shared" si="10"/>
        <v>2031</v>
      </c>
      <c r="E49" s="734">
        <f t="shared" si="10"/>
        <v>2031</v>
      </c>
      <c r="F49" s="734">
        <f t="shared" si="10"/>
        <v>2031</v>
      </c>
      <c r="G49" s="734">
        <f t="shared" si="10"/>
        <v>2016.76</v>
      </c>
      <c r="H49" s="734">
        <f t="shared" si="10"/>
        <v>0</v>
      </c>
      <c r="I49" s="734">
        <f t="shared" si="10"/>
        <v>14.240000000000009</v>
      </c>
    </row>
    <row r="50" spans="1:9" s="446" customFormat="1" ht="15.75">
      <c r="A50" s="460"/>
      <c r="B50" s="459" t="s">
        <v>205</v>
      </c>
      <c r="C50" s="734">
        <f aca="true" t="shared" si="11" ref="C50:I50">C20</f>
        <v>0</v>
      </c>
      <c r="D50" s="734">
        <f t="shared" si="11"/>
        <v>0</v>
      </c>
      <c r="E50" s="734">
        <f t="shared" si="11"/>
        <v>0</v>
      </c>
      <c r="F50" s="734">
        <f t="shared" si="11"/>
        <v>0</v>
      </c>
      <c r="G50" s="734">
        <f t="shared" si="11"/>
        <v>0</v>
      </c>
      <c r="H50" s="734">
        <f t="shared" si="11"/>
        <v>0</v>
      </c>
      <c r="I50" s="734">
        <f t="shared" si="11"/>
        <v>0</v>
      </c>
    </row>
    <row r="51" spans="1:9" s="446" customFormat="1" ht="15.75">
      <c r="A51" s="460"/>
      <c r="B51" s="459" t="s">
        <v>208</v>
      </c>
      <c r="C51" s="734">
        <f aca="true" t="shared" si="12" ref="C51:I51">C21</f>
        <v>0</v>
      </c>
      <c r="D51" s="734">
        <f t="shared" si="12"/>
        <v>4550</v>
      </c>
      <c r="E51" s="734">
        <f t="shared" si="12"/>
        <v>4550</v>
      </c>
      <c r="F51" s="734">
        <f t="shared" si="12"/>
        <v>4550</v>
      </c>
      <c r="G51" s="734">
        <f t="shared" si="12"/>
        <v>0</v>
      </c>
      <c r="H51" s="734">
        <f t="shared" si="12"/>
        <v>0</v>
      </c>
      <c r="I51" s="734">
        <f t="shared" si="12"/>
        <v>4550</v>
      </c>
    </row>
    <row r="52" spans="1:9" s="446" customFormat="1" ht="15.75">
      <c r="A52" s="460"/>
      <c r="B52" s="459" t="s">
        <v>209</v>
      </c>
      <c r="C52" s="734">
        <f aca="true" t="shared" si="13" ref="C52:I52">C22</f>
        <v>0</v>
      </c>
      <c r="D52" s="734">
        <f t="shared" si="13"/>
        <v>1928</v>
      </c>
      <c r="E52" s="734">
        <f t="shared" si="13"/>
        <v>1928</v>
      </c>
      <c r="F52" s="734">
        <f t="shared" si="13"/>
        <v>1928</v>
      </c>
      <c r="G52" s="734">
        <f t="shared" si="13"/>
        <v>0</v>
      </c>
      <c r="H52" s="734">
        <f t="shared" si="13"/>
        <v>0</v>
      </c>
      <c r="I52" s="734">
        <f t="shared" si="13"/>
        <v>1928</v>
      </c>
    </row>
    <row r="53" spans="1:9" s="446" customFormat="1" ht="15.75">
      <c r="A53" s="460"/>
      <c r="B53" s="459" t="s">
        <v>204</v>
      </c>
      <c r="C53" s="734">
        <f aca="true" t="shared" si="14" ref="C53:I53">C23</f>
        <v>0</v>
      </c>
      <c r="D53" s="734">
        <f t="shared" si="14"/>
        <v>1928</v>
      </c>
      <c r="E53" s="734">
        <f t="shared" si="14"/>
        <v>1928</v>
      </c>
      <c r="F53" s="734">
        <f t="shared" si="14"/>
        <v>1928</v>
      </c>
      <c r="G53" s="734">
        <f t="shared" si="14"/>
        <v>0</v>
      </c>
      <c r="H53" s="734">
        <f t="shared" si="14"/>
        <v>0</v>
      </c>
      <c r="I53" s="734">
        <f t="shared" si="14"/>
        <v>1928</v>
      </c>
    </row>
    <row r="54" spans="1:9" s="446" customFormat="1" ht="15.75">
      <c r="A54" s="460"/>
      <c r="B54" s="459" t="s">
        <v>205</v>
      </c>
      <c r="C54" s="734">
        <f aca="true" t="shared" si="15" ref="C54:I54">C24</f>
        <v>0</v>
      </c>
      <c r="D54" s="734">
        <f t="shared" si="15"/>
        <v>0</v>
      </c>
      <c r="E54" s="734">
        <f t="shared" si="15"/>
        <v>0</v>
      </c>
      <c r="F54" s="734">
        <f t="shared" si="15"/>
        <v>0</v>
      </c>
      <c r="G54" s="734">
        <f t="shared" si="15"/>
        <v>0</v>
      </c>
      <c r="H54" s="734">
        <f t="shared" si="15"/>
        <v>0</v>
      </c>
      <c r="I54" s="734">
        <f t="shared" si="15"/>
        <v>0</v>
      </c>
    </row>
    <row r="55" spans="1:9" s="446" customFormat="1" ht="15.75">
      <c r="A55" s="460"/>
      <c r="B55" s="459" t="s">
        <v>206</v>
      </c>
      <c r="C55" s="734">
        <f aca="true" t="shared" si="16" ref="C55:I55">C25</f>
        <v>0</v>
      </c>
      <c r="D55" s="734">
        <f t="shared" si="16"/>
        <v>3080</v>
      </c>
      <c r="E55" s="734">
        <f t="shared" si="16"/>
        <v>3080</v>
      </c>
      <c r="F55" s="734">
        <f t="shared" si="16"/>
        <v>3080</v>
      </c>
      <c r="G55" s="734">
        <f t="shared" si="16"/>
        <v>1015</v>
      </c>
      <c r="H55" s="734">
        <f t="shared" si="16"/>
        <v>0</v>
      </c>
      <c r="I55" s="734">
        <f t="shared" si="16"/>
        <v>2065</v>
      </c>
    </row>
    <row r="56" spans="1:9" s="446" customFormat="1" ht="15.75">
      <c r="A56" s="460"/>
      <c r="B56" s="459" t="s">
        <v>204</v>
      </c>
      <c r="C56" s="734">
        <f aca="true" t="shared" si="17" ref="C56:I56">C26</f>
        <v>0</v>
      </c>
      <c r="D56" s="734">
        <f t="shared" si="17"/>
        <v>2353</v>
      </c>
      <c r="E56" s="734">
        <f t="shared" si="17"/>
        <v>2353</v>
      </c>
      <c r="F56" s="734">
        <f t="shared" si="17"/>
        <v>2353</v>
      </c>
      <c r="G56" s="734">
        <f t="shared" si="17"/>
        <v>1015</v>
      </c>
      <c r="H56" s="734">
        <f t="shared" si="17"/>
        <v>0</v>
      </c>
      <c r="I56" s="734">
        <f t="shared" si="17"/>
        <v>1338</v>
      </c>
    </row>
    <row r="57" spans="1:9" s="446" customFormat="1" ht="15.75">
      <c r="A57" s="460"/>
      <c r="B57" s="459" t="s">
        <v>205</v>
      </c>
      <c r="C57" s="734">
        <f aca="true" t="shared" si="18" ref="C57:I57">C27</f>
        <v>0</v>
      </c>
      <c r="D57" s="734">
        <f t="shared" si="18"/>
        <v>284</v>
      </c>
      <c r="E57" s="734">
        <f t="shared" si="18"/>
        <v>284</v>
      </c>
      <c r="F57" s="734">
        <f t="shared" si="18"/>
        <v>284</v>
      </c>
      <c r="G57" s="734">
        <f t="shared" si="18"/>
        <v>0</v>
      </c>
      <c r="H57" s="734">
        <f t="shared" si="18"/>
        <v>0</v>
      </c>
      <c r="I57" s="734">
        <f t="shared" si="18"/>
        <v>284</v>
      </c>
    </row>
    <row r="58" spans="1:9" s="446" customFormat="1" ht="15.75">
      <c r="A58" s="460"/>
      <c r="B58" s="459" t="s">
        <v>207</v>
      </c>
      <c r="C58" s="734">
        <f aca="true" t="shared" si="19" ref="C58:I58">C28</f>
        <v>0</v>
      </c>
      <c r="D58" s="734">
        <f t="shared" si="19"/>
        <v>443</v>
      </c>
      <c r="E58" s="734">
        <f t="shared" si="19"/>
        <v>443</v>
      </c>
      <c r="F58" s="734">
        <f t="shared" si="19"/>
        <v>443</v>
      </c>
      <c r="G58" s="734">
        <f t="shared" si="19"/>
        <v>0</v>
      </c>
      <c r="H58" s="734">
        <f t="shared" si="19"/>
        <v>0</v>
      </c>
      <c r="I58" s="734">
        <f t="shared" si="19"/>
        <v>443</v>
      </c>
    </row>
    <row r="59" spans="1:9" s="446" customFormat="1" ht="15.75">
      <c r="A59" s="460"/>
      <c r="B59" s="459" t="s">
        <v>210</v>
      </c>
      <c r="C59" s="734">
        <f aca="true" t="shared" si="20" ref="C59:I59">C29</f>
        <v>0</v>
      </c>
      <c r="D59" s="734">
        <f t="shared" si="20"/>
        <v>0</v>
      </c>
      <c r="E59" s="734">
        <f t="shared" si="20"/>
        <v>0</v>
      </c>
      <c r="F59" s="734">
        <f t="shared" si="20"/>
        <v>0</v>
      </c>
      <c r="G59" s="734">
        <f t="shared" si="20"/>
        <v>0</v>
      </c>
      <c r="H59" s="734">
        <f t="shared" si="20"/>
        <v>0</v>
      </c>
      <c r="I59" s="734">
        <f t="shared" si="20"/>
        <v>0</v>
      </c>
    </row>
    <row r="60" spans="1:9" s="446" customFormat="1" ht="15.75">
      <c r="A60" s="460"/>
      <c r="B60" s="459" t="s">
        <v>211</v>
      </c>
      <c r="C60" s="734">
        <f aca="true" t="shared" si="21" ref="C60:I60">C30</f>
        <v>0</v>
      </c>
      <c r="D60" s="734">
        <f t="shared" si="21"/>
        <v>459</v>
      </c>
      <c r="E60" s="734">
        <f t="shared" si="21"/>
        <v>459</v>
      </c>
      <c r="F60" s="734">
        <f t="shared" si="21"/>
        <v>459</v>
      </c>
      <c r="G60" s="734">
        <f t="shared" si="21"/>
        <v>76</v>
      </c>
      <c r="H60" s="734">
        <f t="shared" si="21"/>
        <v>0</v>
      </c>
      <c r="I60" s="734">
        <f t="shared" si="21"/>
        <v>383</v>
      </c>
    </row>
    <row r="61" spans="1:9" s="446" customFormat="1" ht="15.75">
      <c r="A61" s="460"/>
      <c r="B61" s="459" t="s">
        <v>204</v>
      </c>
      <c r="C61" s="734">
        <f aca="true" t="shared" si="22" ref="C61:I61">C31</f>
        <v>0</v>
      </c>
      <c r="D61" s="734">
        <f t="shared" si="22"/>
        <v>381</v>
      </c>
      <c r="E61" s="734">
        <f t="shared" si="22"/>
        <v>381</v>
      </c>
      <c r="F61" s="734">
        <f t="shared" si="22"/>
        <v>381</v>
      </c>
      <c r="G61" s="734">
        <f t="shared" si="22"/>
        <v>0</v>
      </c>
      <c r="H61" s="734">
        <f t="shared" si="22"/>
        <v>0</v>
      </c>
      <c r="I61" s="734">
        <f t="shared" si="22"/>
        <v>381</v>
      </c>
    </row>
    <row r="62" spans="1:9" s="446" customFormat="1" ht="15.75">
      <c r="A62" s="460"/>
      <c r="B62" s="459" t="s">
        <v>205</v>
      </c>
      <c r="C62" s="734">
        <f aca="true" t="shared" si="23" ref="C62:I62">C32</f>
        <v>0</v>
      </c>
      <c r="D62" s="734">
        <f t="shared" si="23"/>
        <v>78</v>
      </c>
      <c r="E62" s="734">
        <f t="shared" si="23"/>
        <v>78</v>
      </c>
      <c r="F62" s="734">
        <f t="shared" si="23"/>
        <v>78</v>
      </c>
      <c r="G62" s="734">
        <f t="shared" si="23"/>
        <v>76</v>
      </c>
      <c r="H62" s="734">
        <f t="shared" si="23"/>
        <v>0</v>
      </c>
      <c r="I62" s="734">
        <f t="shared" si="23"/>
        <v>2</v>
      </c>
    </row>
    <row r="63" spans="1:9" s="446" customFormat="1" ht="15.75">
      <c r="A63" s="460"/>
      <c r="B63" s="459" t="s">
        <v>212</v>
      </c>
      <c r="C63" s="734">
        <f aca="true" t="shared" si="24" ref="C63:I63">C33</f>
        <v>0</v>
      </c>
      <c r="D63" s="734">
        <f t="shared" si="24"/>
        <v>1017</v>
      </c>
      <c r="E63" s="734">
        <f t="shared" si="24"/>
        <v>1017</v>
      </c>
      <c r="F63" s="734">
        <f t="shared" si="24"/>
        <v>1017</v>
      </c>
      <c r="G63" s="734">
        <f t="shared" si="24"/>
        <v>812.625</v>
      </c>
      <c r="H63" s="734">
        <f t="shared" si="24"/>
        <v>0</v>
      </c>
      <c r="I63" s="734">
        <f t="shared" si="24"/>
        <v>204.375</v>
      </c>
    </row>
    <row r="64" spans="1:9" s="446" customFormat="1" ht="15.75">
      <c r="A64" s="460"/>
      <c r="B64" s="459" t="s">
        <v>204</v>
      </c>
      <c r="C64" s="734">
        <f aca="true" t="shared" si="25" ref="C64:I64">C34</f>
        <v>0</v>
      </c>
      <c r="D64" s="734">
        <f t="shared" si="25"/>
        <v>665</v>
      </c>
      <c r="E64" s="734">
        <f t="shared" si="25"/>
        <v>665</v>
      </c>
      <c r="F64" s="734">
        <f t="shared" si="25"/>
        <v>665</v>
      </c>
      <c r="G64" s="734">
        <f t="shared" si="25"/>
        <v>474.645</v>
      </c>
      <c r="H64" s="734">
        <f t="shared" si="25"/>
        <v>0</v>
      </c>
      <c r="I64" s="734">
        <f t="shared" si="25"/>
        <v>190.35500000000002</v>
      </c>
    </row>
    <row r="65" spans="1:9" s="446" customFormat="1" ht="15.75">
      <c r="A65" s="460"/>
      <c r="B65" s="459" t="s">
        <v>205</v>
      </c>
      <c r="C65" s="734">
        <f aca="true" t="shared" si="26" ref="C65:I65">C35</f>
        <v>0</v>
      </c>
      <c r="D65" s="734">
        <f t="shared" si="26"/>
        <v>352</v>
      </c>
      <c r="E65" s="734">
        <f t="shared" si="26"/>
        <v>352</v>
      </c>
      <c r="F65" s="734">
        <f t="shared" si="26"/>
        <v>352</v>
      </c>
      <c r="G65" s="734">
        <f t="shared" si="26"/>
        <v>337.98</v>
      </c>
      <c r="H65" s="734">
        <f t="shared" si="26"/>
        <v>0</v>
      </c>
      <c r="I65" s="734">
        <f t="shared" si="26"/>
        <v>14.019999999999982</v>
      </c>
    </row>
  </sheetData>
  <sheetProtection selectLockedCells="1" selectUnlockedCells="1"/>
  <mergeCells count="14">
    <mergeCell ref="F7:F8"/>
    <mergeCell ref="G7:G8"/>
    <mergeCell ref="H7:H8"/>
    <mergeCell ref="I7:I8"/>
    <mergeCell ref="A1:C1"/>
    <mergeCell ref="H1:I1"/>
    <mergeCell ref="A2:C2"/>
    <mergeCell ref="A3:I3"/>
    <mergeCell ref="H6:I6"/>
    <mergeCell ref="A7:A8"/>
    <mergeCell ref="C7:C8"/>
    <mergeCell ref="A4:I4"/>
    <mergeCell ref="D7:D8"/>
    <mergeCell ref="E7:E8"/>
  </mergeCells>
  <printOptions horizontalCentered="1"/>
  <pageMargins left="0" right="0" top="0" bottom="0" header="0" footer="0"/>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Q21"/>
  <sheetViews>
    <sheetView view="pageBreakPreview" zoomScale="85" zoomScaleNormal="70" zoomScaleSheetLayoutView="85" zoomScalePageLayoutView="0" workbookViewId="0" topLeftCell="A10">
      <selection activeCell="P12" sqref="P12"/>
    </sheetView>
  </sheetViews>
  <sheetFormatPr defaultColWidth="9.140625" defaultRowHeight="12.75"/>
  <cols>
    <col min="1" max="1" width="3.421875" style="442" customWidth="1"/>
    <col min="2" max="2" width="23.00390625" style="442" customWidth="1"/>
    <col min="3" max="3" width="19.7109375" style="440" customWidth="1"/>
    <col min="4" max="4" width="8.57421875" style="440" customWidth="1"/>
    <col min="5" max="5" width="11.421875" style="440" customWidth="1"/>
    <col min="6" max="6" width="9.8515625" style="440" customWidth="1"/>
    <col min="7" max="7" width="8.00390625" style="440" customWidth="1"/>
    <col min="8" max="8" width="8.57421875" style="440" customWidth="1"/>
    <col min="9" max="9" width="9.7109375" style="440" customWidth="1"/>
    <col min="10" max="10" width="9.140625" style="442" customWidth="1"/>
    <col min="11" max="11" width="11.28125" style="442" customWidth="1"/>
    <col min="12" max="13" width="11.57421875" style="442" customWidth="1"/>
    <col min="14" max="16" width="9.421875" style="442" customWidth="1"/>
    <col min="17" max="16384" width="9.140625" style="442" customWidth="1"/>
  </cols>
  <sheetData>
    <row r="1" spans="1:17" s="445" customFormat="1" ht="14.25">
      <c r="A1" s="592" t="s">
        <v>156</v>
      </c>
      <c r="B1" s="592"/>
      <c r="C1" s="592"/>
      <c r="D1" s="453"/>
      <c r="E1" s="453"/>
      <c r="F1" s="453"/>
      <c r="G1" s="453"/>
      <c r="H1" s="596"/>
      <c r="I1" s="596"/>
      <c r="N1" s="596" t="s">
        <v>215</v>
      </c>
      <c r="O1" s="596"/>
      <c r="P1" s="596"/>
      <c r="Q1" s="596"/>
    </row>
    <row r="2" spans="1:9" s="445" customFormat="1" ht="14.25">
      <c r="A2" s="592" t="s">
        <v>309</v>
      </c>
      <c r="B2" s="592"/>
      <c r="C2" s="592"/>
      <c r="D2" s="453"/>
      <c r="E2" s="453"/>
      <c r="F2" s="453"/>
      <c r="G2" s="453"/>
      <c r="H2" s="453"/>
      <c r="I2" s="453"/>
    </row>
    <row r="3" spans="1:16" ht="26.25" customHeight="1">
      <c r="A3" s="592" t="s">
        <v>216</v>
      </c>
      <c r="B3" s="592"/>
      <c r="C3" s="592"/>
      <c r="D3" s="592"/>
      <c r="E3" s="592"/>
      <c r="F3" s="592"/>
      <c r="G3" s="592"/>
      <c r="H3" s="592"/>
      <c r="I3" s="592"/>
      <c r="J3" s="592"/>
      <c r="K3" s="592"/>
      <c r="L3" s="592"/>
      <c r="M3" s="592"/>
      <c r="N3" s="592"/>
      <c r="O3" s="592"/>
      <c r="P3" s="592"/>
    </row>
    <row r="4" spans="1:16" ht="20.25" customHeight="1">
      <c r="A4" s="592" t="s">
        <v>217</v>
      </c>
      <c r="B4" s="592"/>
      <c r="C4" s="592"/>
      <c r="D4" s="592"/>
      <c r="E4" s="592"/>
      <c r="F4" s="592"/>
      <c r="G4" s="592"/>
      <c r="H4" s="592"/>
      <c r="I4" s="592"/>
      <c r="J4" s="592"/>
      <c r="K4" s="592"/>
      <c r="L4" s="592"/>
      <c r="M4" s="592"/>
      <c r="N4" s="592"/>
      <c r="O4" s="592"/>
      <c r="P4" s="592"/>
    </row>
    <row r="6" spans="8:17" ht="15.75">
      <c r="H6" s="461"/>
      <c r="I6" s="461"/>
      <c r="N6" s="597" t="s">
        <v>311</v>
      </c>
      <c r="O6" s="597"/>
      <c r="P6" s="597"/>
      <c r="Q6" s="597"/>
    </row>
    <row r="7" spans="1:17" s="445" customFormat="1" ht="84.75" customHeight="1">
      <c r="A7" s="462" t="s">
        <v>150</v>
      </c>
      <c r="B7" s="462" t="s">
        <v>218</v>
      </c>
      <c r="C7" s="463" t="s">
        <v>219</v>
      </c>
      <c r="D7" s="463" t="s">
        <v>220</v>
      </c>
      <c r="E7" s="497" t="s">
        <v>221</v>
      </c>
      <c r="F7" s="463" t="s">
        <v>222</v>
      </c>
      <c r="G7" s="463" t="s">
        <v>223</v>
      </c>
      <c r="H7" s="463" t="s">
        <v>234</v>
      </c>
      <c r="I7" s="497" t="s">
        <v>224</v>
      </c>
      <c r="J7" s="463" t="s">
        <v>225</v>
      </c>
      <c r="K7" s="463" t="s">
        <v>226</v>
      </c>
      <c r="L7" s="468" t="s">
        <v>227</v>
      </c>
      <c r="M7" s="468" t="s">
        <v>235</v>
      </c>
      <c r="N7" s="468" t="s">
        <v>228</v>
      </c>
      <c r="O7" s="468" t="s">
        <v>229</v>
      </c>
      <c r="P7" s="468" t="s">
        <v>236</v>
      </c>
      <c r="Q7" s="468" t="s">
        <v>230</v>
      </c>
    </row>
    <row r="8" spans="1:17" s="452" customFormat="1" ht="12.75">
      <c r="A8" s="451" t="s">
        <v>21</v>
      </c>
      <c r="B8" s="451" t="s">
        <v>22</v>
      </c>
      <c r="C8" s="451">
        <v>1</v>
      </c>
      <c r="D8" s="451">
        <v>2</v>
      </c>
      <c r="E8" s="581">
        <v>3</v>
      </c>
      <c r="F8" s="451">
        <v>4</v>
      </c>
      <c r="G8" s="451">
        <v>5</v>
      </c>
      <c r="H8" s="451">
        <v>6</v>
      </c>
      <c r="I8" s="581">
        <v>7</v>
      </c>
      <c r="J8" s="451">
        <v>8</v>
      </c>
      <c r="K8" s="451">
        <v>9</v>
      </c>
      <c r="L8" s="451">
        <v>10</v>
      </c>
      <c r="M8" s="451">
        <v>11</v>
      </c>
      <c r="N8" s="451">
        <v>12</v>
      </c>
      <c r="O8" s="451">
        <v>13</v>
      </c>
      <c r="P8" s="451">
        <v>14</v>
      </c>
      <c r="Q8" s="451">
        <v>15</v>
      </c>
    </row>
    <row r="9" spans="1:17" s="467" customFormat="1" ht="56.25" customHeight="1">
      <c r="A9" s="464" t="s">
        <v>24</v>
      </c>
      <c r="B9" s="465" t="s">
        <v>183</v>
      </c>
      <c r="C9" s="466"/>
      <c r="D9" s="466"/>
      <c r="E9" s="582"/>
      <c r="F9" s="466"/>
      <c r="G9" s="466"/>
      <c r="H9" s="466"/>
      <c r="I9" s="582"/>
      <c r="J9" s="466"/>
      <c r="K9" s="466"/>
      <c r="L9" s="466"/>
      <c r="M9" s="466"/>
      <c r="N9" s="466"/>
      <c r="O9" s="466"/>
      <c r="P9" s="466"/>
      <c r="Q9" s="466"/>
    </row>
    <row r="10" spans="1:17" s="456" customFormat="1" ht="15.75">
      <c r="A10" s="458">
        <v>4</v>
      </c>
      <c r="B10" s="457" t="s">
        <v>39</v>
      </c>
      <c r="C10" s="455"/>
      <c r="D10" s="455"/>
      <c r="E10" s="583"/>
      <c r="F10" s="690">
        <f>SUM(F11:F13)</f>
        <v>121000</v>
      </c>
      <c r="G10" s="690"/>
      <c r="H10" s="690"/>
      <c r="I10" s="690">
        <f aca="true" t="shared" si="0" ref="G10:N10">SUM(I11:I13)</f>
        <v>104496.46570100001</v>
      </c>
      <c r="J10" s="690">
        <f t="shared" si="0"/>
        <v>104496.46570100001</v>
      </c>
      <c r="K10" s="690">
        <f t="shared" si="0"/>
        <v>104407.598638</v>
      </c>
      <c r="L10" s="690">
        <f t="shared" si="0"/>
        <v>4227.401</v>
      </c>
      <c r="M10" s="690">
        <f t="shared" si="0"/>
        <v>32041.7357</v>
      </c>
      <c r="N10" s="688"/>
      <c r="O10" s="455"/>
      <c r="P10" s="455"/>
      <c r="Q10" s="455"/>
    </row>
    <row r="11" spans="1:17" s="492" customFormat="1" ht="63">
      <c r="A11" s="689" t="s">
        <v>354</v>
      </c>
      <c r="B11" s="485" t="s">
        <v>312</v>
      </c>
      <c r="C11" s="486" t="s">
        <v>313</v>
      </c>
      <c r="D11" s="486" t="s">
        <v>314</v>
      </c>
      <c r="E11" s="486" t="s">
        <v>322</v>
      </c>
      <c r="F11" s="487">
        <v>65000</v>
      </c>
      <c r="G11" s="599" t="s">
        <v>315</v>
      </c>
      <c r="H11" s="488" t="s">
        <v>316</v>
      </c>
      <c r="I11" s="487">
        <v>59365.525733</v>
      </c>
      <c r="J11" s="487">
        <v>59365.525733</v>
      </c>
      <c r="K11" s="487">
        <v>59320.988146</v>
      </c>
      <c r="L11" s="489">
        <v>2072.177</v>
      </c>
      <c r="M11" s="489">
        <v>17371.1617</v>
      </c>
      <c r="N11" s="490">
        <f>L11/K11</f>
        <v>0.03493159950235466</v>
      </c>
      <c r="O11" s="491"/>
      <c r="P11" s="491"/>
      <c r="Q11" s="491"/>
    </row>
    <row r="12" spans="1:17" s="496" customFormat="1" ht="94.5">
      <c r="A12" s="689" t="s">
        <v>354</v>
      </c>
      <c r="B12" s="493" t="s">
        <v>317</v>
      </c>
      <c r="C12" s="486" t="s">
        <v>318</v>
      </c>
      <c r="D12" s="486" t="s">
        <v>319</v>
      </c>
      <c r="E12" s="486" t="s">
        <v>322</v>
      </c>
      <c r="F12" s="494">
        <v>26000</v>
      </c>
      <c r="G12" s="599"/>
      <c r="H12" s="488" t="s">
        <v>316</v>
      </c>
      <c r="I12" s="487">
        <v>19828.747109</v>
      </c>
      <c r="J12" s="487">
        <v>19828.747109</v>
      </c>
      <c r="K12" s="487">
        <v>19808.511636</v>
      </c>
      <c r="L12" s="489">
        <v>949.84</v>
      </c>
      <c r="M12" s="489">
        <v>6341.626</v>
      </c>
      <c r="N12" s="490">
        <f>L12/K12</f>
        <v>0.04795110392210187</v>
      </c>
      <c r="O12" s="495"/>
      <c r="P12" s="495"/>
      <c r="Q12" s="495"/>
    </row>
    <row r="13" spans="1:17" s="496" customFormat="1" ht="63">
      <c r="A13" s="689" t="s">
        <v>354</v>
      </c>
      <c r="B13" s="493" t="s">
        <v>320</v>
      </c>
      <c r="C13" s="486" t="s">
        <v>321</v>
      </c>
      <c r="D13" s="486" t="s">
        <v>314</v>
      </c>
      <c r="E13" s="486" t="s">
        <v>322</v>
      </c>
      <c r="F13" s="494">
        <v>30000</v>
      </c>
      <c r="G13" s="599"/>
      <c r="H13" s="488" t="s">
        <v>316</v>
      </c>
      <c r="I13" s="487">
        <v>25302.192859</v>
      </c>
      <c r="J13" s="487">
        <v>25302.192859</v>
      </c>
      <c r="K13" s="487">
        <v>25278.098856</v>
      </c>
      <c r="L13" s="489">
        <v>1205.384</v>
      </c>
      <c r="M13" s="489">
        <v>8328.948</v>
      </c>
      <c r="N13" s="490">
        <f>L13/K13</f>
        <v>0.047684915185537795</v>
      </c>
      <c r="O13" s="495"/>
      <c r="P13" s="495"/>
      <c r="Q13" s="495"/>
    </row>
    <row r="14" spans="1:17" s="456" customFormat="1" ht="15.75">
      <c r="A14" s="458"/>
      <c r="B14" s="459"/>
      <c r="C14" s="455"/>
      <c r="D14" s="455"/>
      <c r="E14" s="455"/>
      <c r="F14" s="455"/>
      <c r="G14" s="455"/>
      <c r="H14" s="455"/>
      <c r="I14" s="455"/>
      <c r="J14" s="455"/>
      <c r="K14" s="455"/>
      <c r="L14" s="455"/>
      <c r="M14" s="455"/>
      <c r="N14" s="455"/>
      <c r="O14" s="455"/>
      <c r="P14" s="455"/>
      <c r="Q14" s="455"/>
    </row>
    <row r="15" spans="1:17" s="456" customFormat="1" ht="38.25">
      <c r="A15" s="458" t="s">
        <v>34</v>
      </c>
      <c r="B15" s="457" t="s">
        <v>3</v>
      </c>
      <c r="C15" s="455"/>
      <c r="D15" s="455"/>
      <c r="E15" s="455"/>
      <c r="F15" s="455"/>
      <c r="G15" s="455"/>
      <c r="H15" s="455"/>
      <c r="I15" s="455"/>
      <c r="J15" s="455"/>
      <c r="K15" s="455"/>
      <c r="L15" s="455"/>
      <c r="M15" s="455"/>
      <c r="N15" s="455"/>
      <c r="O15" s="455"/>
      <c r="P15" s="455"/>
      <c r="Q15" s="455"/>
    </row>
    <row r="16" spans="1:17" s="472" customFormat="1" ht="15.75">
      <c r="A16" s="469" t="s">
        <v>21</v>
      </c>
      <c r="B16" s="470" t="s">
        <v>232</v>
      </c>
      <c r="C16" s="471"/>
      <c r="D16" s="471"/>
      <c r="E16" s="471"/>
      <c r="F16" s="471"/>
      <c r="G16" s="471"/>
      <c r="H16" s="471"/>
      <c r="I16" s="471"/>
      <c r="J16" s="471"/>
      <c r="K16" s="471"/>
      <c r="L16" s="471"/>
      <c r="M16" s="471"/>
      <c r="N16" s="471"/>
      <c r="O16" s="471"/>
      <c r="P16" s="471"/>
      <c r="Q16" s="471"/>
    </row>
    <row r="17" spans="1:17" s="472" customFormat="1" ht="15.75">
      <c r="A17" s="469" t="s">
        <v>22</v>
      </c>
      <c r="B17" s="470" t="s">
        <v>233</v>
      </c>
      <c r="C17" s="471"/>
      <c r="D17" s="471"/>
      <c r="E17" s="471"/>
      <c r="F17" s="471"/>
      <c r="G17" s="471"/>
      <c r="H17" s="471"/>
      <c r="I17" s="471"/>
      <c r="J17" s="471"/>
      <c r="K17" s="471"/>
      <c r="L17" s="471"/>
      <c r="M17" s="471"/>
      <c r="N17" s="471"/>
      <c r="O17" s="471"/>
      <c r="P17" s="471"/>
      <c r="Q17" s="471"/>
    </row>
    <row r="18" spans="1:17" ht="15.75">
      <c r="A18" s="449">
        <v>4</v>
      </c>
      <c r="B18" s="450" t="s">
        <v>39</v>
      </c>
      <c r="C18" s="441"/>
      <c r="D18" s="441"/>
      <c r="E18" s="441"/>
      <c r="F18" s="441"/>
      <c r="G18" s="441"/>
      <c r="H18" s="441"/>
      <c r="I18" s="441"/>
      <c r="J18" s="441"/>
      <c r="K18" s="441"/>
      <c r="L18" s="441"/>
      <c r="M18" s="441"/>
      <c r="N18" s="441"/>
      <c r="O18" s="441"/>
      <c r="P18" s="441"/>
      <c r="Q18" s="441"/>
    </row>
    <row r="19" spans="1:17" ht="15.75">
      <c r="A19" s="449"/>
      <c r="B19" s="459" t="s">
        <v>231</v>
      </c>
      <c r="C19" s="441"/>
      <c r="D19" s="441"/>
      <c r="E19" s="441"/>
      <c r="F19" s="441"/>
      <c r="G19" s="441"/>
      <c r="H19" s="441"/>
      <c r="I19" s="441"/>
      <c r="J19" s="441"/>
      <c r="K19" s="441"/>
      <c r="L19" s="441"/>
      <c r="M19" s="441"/>
      <c r="N19" s="441"/>
      <c r="O19" s="441"/>
      <c r="P19" s="441"/>
      <c r="Q19" s="441"/>
    </row>
    <row r="21" spans="1:17" ht="34.5" customHeight="1">
      <c r="A21" s="598" t="s">
        <v>239</v>
      </c>
      <c r="B21" s="598"/>
      <c r="C21" s="598"/>
      <c r="D21" s="598"/>
      <c r="E21" s="598"/>
      <c r="F21" s="598"/>
      <c r="G21" s="598"/>
      <c r="H21" s="598"/>
      <c r="I21" s="598"/>
      <c r="J21" s="598"/>
      <c r="K21" s="598"/>
      <c r="L21" s="598"/>
      <c r="M21" s="598"/>
      <c r="N21" s="598"/>
      <c r="O21" s="598"/>
      <c r="P21" s="598"/>
      <c r="Q21" s="598"/>
    </row>
  </sheetData>
  <sheetProtection/>
  <mergeCells count="9">
    <mergeCell ref="A3:P3"/>
    <mergeCell ref="A4:P4"/>
    <mergeCell ref="N1:Q1"/>
    <mergeCell ref="N6:Q6"/>
    <mergeCell ref="A21:Q21"/>
    <mergeCell ref="A1:C1"/>
    <mergeCell ref="H1:I1"/>
    <mergeCell ref="A2:C2"/>
    <mergeCell ref="G11:G13"/>
  </mergeCells>
  <printOptions horizontalCentered="1"/>
  <pageMargins left="0.5" right="0.5" top="0.75" bottom="0.25" header="0" footer="0"/>
  <pageSetup fitToHeight="0"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rgb="FFFFC000"/>
  </sheetPr>
  <dimension ref="A1:R19"/>
  <sheetViews>
    <sheetView zoomScalePageLayoutView="0" workbookViewId="0" topLeftCell="A1">
      <selection activeCell="A5" sqref="A5"/>
    </sheetView>
  </sheetViews>
  <sheetFormatPr defaultColWidth="9.00390625" defaultRowHeight="12.75"/>
  <cols>
    <col min="1" max="1" width="5.421875" style="94" customWidth="1"/>
    <col min="2" max="2" width="25.421875" style="95" customWidth="1"/>
    <col min="3" max="3" width="9.140625" style="94" customWidth="1"/>
    <col min="4" max="4" width="9.00390625" style="96" customWidth="1"/>
    <col min="5" max="5" width="10.28125" style="96" customWidth="1"/>
    <col min="6" max="6" width="9.57421875" style="96" customWidth="1"/>
    <col min="7" max="7" width="7.57421875" style="96" customWidth="1"/>
    <col min="8" max="8" width="9.7109375" style="94" customWidth="1"/>
    <col min="9" max="9" width="8.00390625" style="94" customWidth="1"/>
    <col min="10" max="10" width="8.8515625" style="94" customWidth="1"/>
    <col min="11" max="11" width="9.421875" style="94" customWidth="1"/>
    <col min="12" max="12" width="11.57421875" style="94" customWidth="1"/>
    <col min="13" max="13" width="14.140625" style="94" customWidth="1"/>
    <col min="14" max="14" width="14.57421875" style="94" customWidth="1"/>
    <col min="15" max="15" width="9.421875" style="94" customWidth="1"/>
    <col min="16" max="18" width="11.57421875" style="94" hidden="1" customWidth="1"/>
    <col min="19" max="20" width="0" style="94" hidden="1" customWidth="1"/>
    <col min="21" max="21" width="14.421875" style="94" customWidth="1"/>
    <col min="22" max="16384" width="9.00390625" style="94" customWidth="1"/>
  </cols>
  <sheetData>
    <row r="1" spans="12:15" ht="23.25" customHeight="1">
      <c r="L1" s="606" t="s">
        <v>46</v>
      </c>
      <c r="M1" s="606"/>
      <c r="N1" s="606"/>
      <c r="O1" s="606"/>
    </row>
    <row r="2" spans="1:15" s="97" customFormat="1" ht="27" customHeight="1">
      <c r="A2" s="607" t="s">
        <v>147</v>
      </c>
      <c r="B2" s="607"/>
      <c r="C2" s="607"/>
      <c r="D2" s="607"/>
      <c r="E2" s="607"/>
      <c r="F2" s="607"/>
      <c r="G2" s="607"/>
      <c r="H2" s="607"/>
      <c r="I2" s="607"/>
      <c r="J2" s="607"/>
      <c r="K2" s="607"/>
      <c r="L2" s="607"/>
      <c r="M2" s="607"/>
      <c r="N2" s="607"/>
      <c r="O2" s="607"/>
    </row>
    <row r="3" spans="1:15" s="97" customFormat="1" ht="24" customHeight="1">
      <c r="A3" s="607" t="s">
        <v>1</v>
      </c>
      <c r="B3" s="607"/>
      <c r="C3" s="607"/>
      <c r="D3" s="607"/>
      <c r="E3" s="607"/>
      <c r="F3" s="607"/>
      <c r="G3" s="607"/>
      <c r="H3" s="607"/>
      <c r="I3" s="607"/>
      <c r="J3" s="607"/>
      <c r="K3" s="607"/>
      <c r="L3" s="607"/>
      <c r="M3" s="607"/>
      <c r="N3" s="607"/>
      <c r="O3" s="607"/>
    </row>
    <row r="4" spans="1:15" s="97" customFormat="1" ht="24.75" customHeight="1">
      <c r="A4" s="608" t="s">
        <v>132</v>
      </c>
      <c r="B4" s="608"/>
      <c r="C4" s="608"/>
      <c r="D4" s="608"/>
      <c r="E4" s="608"/>
      <c r="F4" s="608"/>
      <c r="G4" s="608"/>
      <c r="H4" s="608"/>
      <c r="I4" s="608"/>
      <c r="J4" s="608"/>
      <c r="K4" s="608"/>
      <c r="L4" s="608"/>
      <c r="M4" s="608"/>
      <c r="N4" s="608"/>
      <c r="O4" s="608"/>
    </row>
    <row r="5" ht="20.25" customHeight="1"/>
    <row r="6" spans="1:16" s="99" customFormat="1" ht="35.25" customHeight="1">
      <c r="A6" s="609" t="s">
        <v>47</v>
      </c>
      <c r="B6" s="609" t="s">
        <v>48</v>
      </c>
      <c r="C6" s="609" t="s">
        <v>49</v>
      </c>
      <c r="D6" s="609"/>
      <c r="E6" s="609"/>
      <c r="F6" s="609"/>
      <c r="G6" s="609"/>
      <c r="H6" s="609"/>
      <c r="I6" s="609"/>
      <c r="J6" s="609"/>
      <c r="K6" s="609"/>
      <c r="L6" s="603" t="s">
        <v>50</v>
      </c>
      <c r="M6" s="605"/>
      <c r="N6" s="604"/>
      <c r="O6" s="601" t="s">
        <v>6</v>
      </c>
      <c r="P6" s="98"/>
    </row>
    <row r="7" spans="1:16" s="101" customFormat="1" ht="47.25" customHeight="1">
      <c r="A7" s="609"/>
      <c r="B7" s="609"/>
      <c r="C7" s="601" t="s">
        <v>51</v>
      </c>
      <c r="D7" s="601"/>
      <c r="E7" s="600" t="s">
        <v>52</v>
      </c>
      <c r="F7" s="600"/>
      <c r="G7" s="601" t="s">
        <v>53</v>
      </c>
      <c r="H7" s="601"/>
      <c r="I7" s="601" t="s">
        <v>54</v>
      </c>
      <c r="J7" s="601"/>
      <c r="K7" s="601" t="s">
        <v>55</v>
      </c>
      <c r="L7" s="601" t="s">
        <v>7</v>
      </c>
      <c r="M7" s="603" t="s">
        <v>8</v>
      </c>
      <c r="N7" s="604"/>
      <c r="O7" s="601"/>
      <c r="P7" s="100"/>
    </row>
    <row r="8" spans="1:15" s="101" customFormat="1" ht="78" customHeight="1">
      <c r="A8" s="609"/>
      <c r="B8" s="609"/>
      <c r="C8" s="102" t="s">
        <v>56</v>
      </c>
      <c r="D8" s="103" t="s">
        <v>57</v>
      </c>
      <c r="E8" s="104" t="s">
        <v>58</v>
      </c>
      <c r="F8" s="104" t="s">
        <v>57</v>
      </c>
      <c r="G8" s="104" t="s">
        <v>59</v>
      </c>
      <c r="H8" s="105" t="s">
        <v>57</v>
      </c>
      <c r="I8" s="105" t="s">
        <v>60</v>
      </c>
      <c r="J8" s="105" t="s">
        <v>57</v>
      </c>
      <c r="K8" s="601"/>
      <c r="L8" s="601"/>
      <c r="M8" s="208" t="s">
        <v>61</v>
      </c>
      <c r="N8" s="208" t="s">
        <v>133</v>
      </c>
      <c r="O8" s="601"/>
    </row>
    <row r="9" spans="1:15" s="99" customFormat="1" ht="39.75" customHeight="1">
      <c r="A9" s="106" t="s">
        <v>21</v>
      </c>
      <c r="B9" s="106" t="s">
        <v>22</v>
      </c>
      <c r="C9" s="107">
        <v>1</v>
      </c>
      <c r="D9" s="108">
        <v>2</v>
      </c>
      <c r="E9" s="107">
        <v>3</v>
      </c>
      <c r="F9" s="108">
        <v>4</v>
      </c>
      <c r="G9" s="107">
        <v>5</v>
      </c>
      <c r="H9" s="108">
        <v>6</v>
      </c>
      <c r="I9" s="107">
        <v>7</v>
      </c>
      <c r="J9" s="108">
        <v>8</v>
      </c>
      <c r="K9" s="107" t="s">
        <v>62</v>
      </c>
      <c r="L9" s="109">
        <v>10</v>
      </c>
      <c r="M9" s="109">
        <v>11</v>
      </c>
      <c r="N9" s="109">
        <v>12</v>
      </c>
      <c r="O9" s="110" t="s">
        <v>23</v>
      </c>
    </row>
    <row r="10" spans="1:17" s="98" customFormat="1" ht="23.25" customHeight="1">
      <c r="A10" s="431"/>
      <c r="B10" s="431" t="s">
        <v>7</v>
      </c>
      <c r="C10" s="432">
        <f>SUM(C11:C17)</f>
        <v>86101</v>
      </c>
      <c r="D10" s="433">
        <f>SUM(D11:D17)</f>
        <v>1.18</v>
      </c>
      <c r="E10" s="432">
        <f>SUM(E11:E17)</f>
        <v>4.1857</v>
      </c>
      <c r="F10" s="433">
        <f>SUM(F11:F17)</f>
        <v>3.07</v>
      </c>
      <c r="G10" s="433"/>
      <c r="H10" s="433">
        <f aca="true" t="shared" si="0" ref="H10:M10">SUM(H11:H17)</f>
        <v>0.9</v>
      </c>
      <c r="I10" s="432">
        <f t="shared" si="0"/>
        <v>93</v>
      </c>
      <c r="J10" s="433">
        <f t="shared" si="0"/>
        <v>0.78</v>
      </c>
      <c r="K10" s="433">
        <f t="shared" si="0"/>
        <v>5.93</v>
      </c>
      <c r="L10" s="432">
        <f t="shared" si="0"/>
        <v>29332</v>
      </c>
      <c r="M10" s="432">
        <f t="shared" si="0"/>
        <v>29332</v>
      </c>
      <c r="N10" s="432">
        <f>N14+N16</f>
        <v>12004</v>
      </c>
      <c r="O10" s="432"/>
      <c r="P10" s="113">
        <v>29332</v>
      </c>
      <c r="Q10" s="114">
        <v>5.93</v>
      </c>
    </row>
    <row r="11" spans="1:18" s="421" customFormat="1" ht="23.25" customHeight="1">
      <c r="A11" s="410">
        <v>1</v>
      </c>
      <c r="B11" s="151" t="s">
        <v>36</v>
      </c>
      <c r="C11" s="413">
        <v>9437</v>
      </c>
      <c r="D11" s="411">
        <v>0.15</v>
      </c>
      <c r="E11" s="436">
        <v>0.6559</v>
      </c>
      <c r="F11" s="437">
        <v>0.5</v>
      </c>
      <c r="G11" s="412" t="s">
        <v>63</v>
      </c>
      <c r="H11" s="438">
        <v>0.14</v>
      </c>
      <c r="I11" s="439">
        <v>11</v>
      </c>
      <c r="J11" s="438">
        <v>0.1</v>
      </c>
      <c r="K11" s="434">
        <f aca="true" t="shared" si="1" ref="K11:K17">D11+J11+F11+H11</f>
        <v>0.89</v>
      </c>
      <c r="L11" s="414">
        <f aca="true" t="shared" si="2" ref="L11:L17">M11</f>
        <v>4403</v>
      </c>
      <c r="M11" s="414">
        <v>4403</v>
      </c>
      <c r="N11" s="414"/>
      <c r="O11" s="435"/>
      <c r="P11" s="205">
        <v>29332</v>
      </c>
      <c r="Q11" s="416">
        <v>5.93</v>
      </c>
      <c r="R11" s="421">
        <f>K11*P11/Q11</f>
        <v>4402.273187183811</v>
      </c>
    </row>
    <row r="12" spans="1:18" s="421" customFormat="1" ht="23.25" customHeight="1">
      <c r="A12" s="115">
        <v>2</v>
      </c>
      <c r="B12" s="116" t="s">
        <v>37</v>
      </c>
      <c r="C12" s="117">
        <v>9660</v>
      </c>
      <c r="D12" s="118">
        <v>0.15</v>
      </c>
      <c r="E12" s="119">
        <v>0.6465000000000001</v>
      </c>
      <c r="F12" s="120">
        <v>0.46</v>
      </c>
      <c r="G12" s="121" t="s">
        <v>63</v>
      </c>
      <c r="H12" s="122">
        <v>0.14</v>
      </c>
      <c r="I12" s="123">
        <v>12</v>
      </c>
      <c r="J12" s="122">
        <v>0.1</v>
      </c>
      <c r="K12" s="124">
        <f t="shared" si="1"/>
        <v>0.85</v>
      </c>
      <c r="L12" s="125">
        <f t="shared" si="2"/>
        <v>4203</v>
      </c>
      <c r="M12" s="125">
        <v>4203</v>
      </c>
      <c r="N12" s="125"/>
      <c r="O12" s="126"/>
      <c r="P12" s="205">
        <v>29332</v>
      </c>
      <c r="Q12" s="416">
        <v>5.93</v>
      </c>
      <c r="R12" s="421">
        <f aca="true" t="shared" si="3" ref="R12:R17">K12*P12/Q12</f>
        <v>4204.418212478921</v>
      </c>
    </row>
    <row r="13" spans="1:18" s="421" customFormat="1" ht="23.25" customHeight="1">
      <c r="A13" s="115">
        <v>3</v>
      </c>
      <c r="B13" s="116" t="s">
        <v>38</v>
      </c>
      <c r="C13" s="117">
        <v>11839</v>
      </c>
      <c r="D13" s="118">
        <v>0.17</v>
      </c>
      <c r="E13" s="119">
        <v>0.618</v>
      </c>
      <c r="F13" s="120">
        <v>0.46</v>
      </c>
      <c r="G13" s="121" t="s">
        <v>64</v>
      </c>
      <c r="H13" s="122">
        <v>0.12</v>
      </c>
      <c r="I13" s="123">
        <v>12</v>
      </c>
      <c r="J13" s="122">
        <v>0.1</v>
      </c>
      <c r="K13" s="124">
        <f t="shared" si="1"/>
        <v>0.85</v>
      </c>
      <c r="L13" s="125">
        <f t="shared" si="2"/>
        <v>4203</v>
      </c>
      <c r="M13" s="125">
        <v>4203</v>
      </c>
      <c r="N13" s="125"/>
      <c r="O13" s="126"/>
      <c r="P13" s="205">
        <v>29332</v>
      </c>
      <c r="Q13" s="416">
        <v>5.93</v>
      </c>
      <c r="R13" s="421">
        <f t="shared" si="3"/>
        <v>4204.418212478921</v>
      </c>
    </row>
    <row r="14" spans="1:18" s="421" customFormat="1" ht="23.25" customHeight="1">
      <c r="A14" s="115">
        <v>4</v>
      </c>
      <c r="B14" s="116" t="s">
        <v>39</v>
      </c>
      <c r="C14" s="117">
        <v>19076</v>
      </c>
      <c r="D14" s="118">
        <v>0.2</v>
      </c>
      <c r="E14" s="119">
        <v>0.5763</v>
      </c>
      <c r="F14" s="120">
        <v>0.41</v>
      </c>
      <c r="G14" s="121" t="s">
        <v>64</v>
      </c>
      <c r="H14" s="122">
        <v>0.12</v>
      </c>
      <c r="I14" s="123">
        <v>19</v>
      </c>
      <c r="J14" s="122">
        <v>0.14</v>
      </c>
      <c r="K14" s="124">
        <f t="shared" si="1"/>
        <v>0.87</v>
      </c>
      <c r="L14" s="125">
        <f t="shared" si="2"/>
        <v>4304</v>
      </c>
      <c r="M14" s="125">
        <v>4304</v>
      </c>
      <c r="N14" s="125">
        <f>6002</f>
        <v>6002</v>
      </c>
      <c r="O14" s="126"/>
      <c r="P14" s="205">
        <v>29332</v>
      </c>
      <c r="Q14" s="416">
        <v>5.93</v>
      </c>
      <c r="R14" s="421">
        <f t="shared" si="3"/>
        <v>4303.345699831366</v>
      </c>
    </row>
    <row r="15" spans="1:18" s="421" customFormat="1" ht="23.25" customHeight="1">
      <c r="A15" s="115">
        <v>5</v>
      </c>
      <c r="B15" s="116" t="s">
        <v>40</v>
      </c>
      <c r="C15" s="117">
        <v>13673</v>
      </c>
      <c r="D15" s="118">
        <v>0.17</v>
      </c>
      <c r="E15" s="119">
        <v>0.5862000000000002</v>
      </c>
      <c r="F15" s="120">
        <v>0.41</v>
      </c>
      <c r="G15" s="121" t="s">
        <v>64</v>
      </c>
      <c r="H15" s="122">
        <v>0.12</v>
      </c>
      <c r="I15" s="123">
        <v>14</v>
      </c>
      <c r="J15" s="122">
        <v>0.12</v>
      </c>
      <c r="K15" s="124">
        <f t="shared" si="1"/>
        <v>0.82</v>
      </c>
      <c r="L15" s="125">
        <f t="shared" si="2"/>
        <v>4056</v>
      </c>
      <c r="M15" s="125">
        <v>4056</v>
      </c>
      <c r="N15" s="125"/>
      <c r="O15" s="126"/>
      <c r="P15" s="205">
        <v>29332</v>
      </c>
      <c r="Q15" s="416">
        <v>5.93</v>
      </c>
      <c r="R15" s="421">
        <f t="shared" si="3"/>
        <v>4056.0269814502526</v>
      </c>
    </row>
    <row r="16" spans="1:18" ht="23.25" customHeight="1">
      <c r="A16" s="115">
        <v>6</v>
      </c>
      <c r="B16" s="116" t="s">
        <v>41</v>
      </c>
      <c r="C16" s="117">
        <v>11149</v>
      </c>
      <c r="D16" s="118">
        <v>0.17</v>
      </c>
      <c r="E16" s="127">
        <v>0.5011</v>
      </c>
      <c r="F16" s="118">
        <v>0.37</v>
      </c>
      <c r="G16" s="121" t="s">
        <v>64</v>
      </c>
      <c r="H16" s="128">
        <v>0.12</v>
      </c>
      <c r="I16" s="117">
        <v>10</v>
      </c>
      <c r="J16" s="128">
        <v>0.1</v>
      </c>
      <c r="K16" s="124">
        <f t="shared" si="1"/>
        <v>0.76</v>
      </c>
      <c r="L16" s="125">
        <f t="shared" si="2"/>
        <v>3760</v>
      </c>
      <c r="M16" s="125">
        <v>3760</v>
      </c>
      <c r="N16" s="125">
        <v>6002</v>
      </c>
      <c r="O16" s="126"/>
      <c r="P16" s="113">
        <v>29332</v>
      </c>
      <c r="Q16" s="114">
        <v>5.93</v>
      </c>
      <c r="R16" s="94">
        <f t="shared" si="3"/>
        <v>3759.2445193929175</v>
      </c>
    </row>
    <row r="17" spans="1:18" ht="23.25" customHeight="1">
      <c r="A17" s="115">
        <v>7</v>
      </c>
      <c r="B17" s="116" t="s">
        <v>42</v>
      </c>
      <c r="C17" s="117">
        <v>11267</v>
      </c>
      <c r="D17" s="118">
        <v>0.17</v>
      </c>
      <c r="E17" s="119">
        <v>0.6017</v>
      </c>
      <c r="F17" s="120">
        <v>0.46</v>
      </c>
      <c r="G17" s="121" t="s">
        <v>63</v>
      </c>
      <c r="H17" s="122">
        <v>0.14</v>
      </c>
      <c r="I17" s="123">
        <v>15</v>
      </c>
      <c r="J17" s="122">
        <v>0.12</v>
      </c>
      <c r="K17" s="124">
        <f t="shared" si="1"/>
        <v>0.89</v>
      </c>
      <c r="L17" s="125">
        <f t="shared" si="2"/>
        <v>4403</v>
      </c>
      <c r="M17" s="125">
        <v>4403</v>
      </c>
      <c r="N17" s="125"/>
      <c r="O17" s="126"/>
      <c r="P17" s="113">
        <v>29332</v>
      </c>
      <c r="Q17" s="114">
        <v>5.93</v>
      </c>
      <c r="R17" s="94">
        <f t="shared" si="3"/>
        <v>4402.273187183811</v>
      </c>
    </row>
    <row r="18" spans="1:15" s="138" customFormat="1" ht="22.5" customHeight="1">
      <c r="A18" s="129"/>
      <c r="B18" s="130"/>
      <c r="C18" s="131"/>
      <c r="D18" s="132"/>
      <c r="E18" s="133"/>
      <c r="F18" s="134"/>
      <c r="G18" s="132"/>
      <c r="H18" s="135"/>
      <c r="I18" s="136"/>
      <c r="J18" s="135"/>
      <c r="K18" s="137"/>
      <c r="L18" s="136"/>
      <c r="M18" s="136"/>
      <c r="N18" s="136"/>
      <c r="O18" s="136"/>
    </row>
    <row r="19" spans="1:15" ht="66.75" customHeight="1">
      <c r="A19" s="602" t="s">
        <v>65</v>
      </c>
      <c r="B19" s="602"/>
      <c r="C19" s="602"/>
      <c r="D19" s="602"/>
      <c r="E19" s="602"/>
      <c r="F19" s="602"/>
      <c r="G19" s="602"/>
      <c r="H19" s="602"/>
      <c r="I19" s="602"/>
      <c r="J19" s="602"/>
      <c r="K19" s="602"/>
      <c r="L19" s="602"/>
      <c r="M19" s="602"/>
      <c r="N19" s="602"/>
      <c r="O19" s="602"/>
    </row>
  </sheetData>
  <sheetProtection selectLockedCells="1" selectUnlockedCells="1"/>
  <mergeCells count="17">
    <mergeCell ref="L6:N6"/>
    <mergeCell ref="L1:O1"/>
    <mergeCell ref="A2:O2"/>
    <mergeCell ref="A3:O3"/>
    <mergeCell ref="A4:O4"/>
    <mergeCell ref="A6:A8"/>
    <mergeCell ref="B6:B8"/>
    <mergeCell ref="C6:K6"/>
    <mergeCell ref="O6:O8"/>
    <mergeCell ref="C7:D7"/>
    <mergeCell ref="E7:F7"/>
    <mergeCell ref="G7:H7"/>
    <mergeCell ref="I7:J7"/>
    <mergeCell ref="K7:K8"/>
    <mergeCell ref="L7:L8"/>
    <mergeCell ref="A19:O19"/>
    <mergeCell ref="M7:N7"/>
  </mergeCells>
  <printOptions horizontalCentered="1"/>
  <pageMargins left="0" right="0" top="0.5902777777777778" bottom="0.39375" header="0.5118055555555555" footer="0.5118055555555555"/>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tabColor rgb="FFFFFF00"/>
  </sheetPr>
  <dimension ref="A1:Q26"/>
  <sheetViews>
    <sheetView zoomScale="85" zoomScaleNormal="85" zoomScalePageLayoutView="0" workbookViewId="0" topLeftCell="A1">
      <selection activeCell="A5" sqref="A5"/>
    </sheetView>
  </sheetViews>
  <sheetFormatPr defaultColWidth="5.421875" defaultRowHeight="12.75"/>
  <cols>
    <col min="1" max="1" width="5.421875" style="94" customWidth="1"/>
    <col min="2" max="2" width="26.28125" style="95" customWidth="1"/>
    <col min="3" max="3" width="11.140625" style="94" customWidth="1"/>
    <col min="4" max="5" width="12.8515625" style="96" customWidth="1"/>
    <col min="6" max="6" width="12.7109375" style="96" customWidth="1"/>
    <col min="7" max="7" width="10.00390625" style="96" customWidth="1"/>
    <col min="8" max="8" width="11.28125" style="94" customWidth="1"/>
    <col min="9" max="9" width="11.8515625" style="94" customWidth="1"/>
    <col min="10" max="10" width="11.7109375" style="94" customWidth="1"/>
    <col min="11" max="11" width="12.57421875" style="94" customWidth="1"/>
    <col min="12" max="12" width="15.00390625" style="94" customWidth="1"/>
    <col min="13" max="13" width="14.28125" style="94" customWidth="1"/>
    <col min="14" max="14" width="12.00390625" style="94" hidden="1" customWidth="1"/>
    <col min="15" max="15" width="17.140625" style="94" hidden="1" customWidth="1"/>
    <col min="16" max="16" width="23.57421875" style="94" hidden="1" customWidth="1"/>
    <col min="17" max="17" width="17.7109375" style="94" hidden="1" customWidth="1"/>
    <col min="18" max="18" width="9.00390625" style="94" hidden="1" customWidth="1"/>
    <col min="19" max="19" width="14.421875" style="94" hidden="1" customWidth="1"/>
    <col min="20" max="255" width="9.00390625" style="94" customWidth="1"/>
    <col min="256" max="16384" width="5.421875" style="94" customWidth="1"/>
  </cols>
  <sheetData>
    <row r="1" spans="1:17" ht="31.5" customHeight="1">
      <c r="A1" s="216"/>
      <c r="B1" s="217"/>
      <c r="C1" s="216"/>
      <c r="D1" s="218"/>
      <c r="E1" s="218"/>
      <c r="F1" s="218"/>
      <c r="G1" s="218"/>
      <c r="H1" s="216"/>
      <c r="I1" s="216"/>
      <c r="J1" s="216"/>
      <c r="K1" s="216"/>
      <c r="L1" s="614" t="s">
        <v>66</v>
      </c>
      <c r="M1" s="614"/>
      <c r="N1" s="216"/>
      <c r="O1" s="216"/>
      <c r="P1" s="216"/>
      <c r="Q1" s="216"/>
    </row>
    <row r="2" spans="1:17" s="97" customFormat="1" ht="33.75" customHeight="1">
      <c r="A2" s="615" t="str">
        <f>'DA1'!A2:O2</f>
        <v>ĐỀ NGHỊ PHÂN BỔ NGUỒN VỐN SỰ NGHIỆP CHƯƠNG TRÌNH MTQG GIẢM NGHÈO BỀN VỮNG, NĂM 2023</v>
      </c>
      <c r="B2" s="615"/>
      <c r="C2" s="615"/>
      <c r="D2" s="615"/>
      <c r="E2" s="615"/>
      <c r="F2" s="615"/>
      <c r="G2" s="615"/>
      <c r="H2" s="615"/>
      <c r="I2" s="615"/>
      <c r="J2" s="615"/>
      <c r="K2" s="615"/>
      <c r="L2" s="615"/>
      <c r="M2" s="615"/>
      <c r="N2" s="219"/>
      <c r="O2" s="219"/>
      <c r="P2" s="219"/>
      <c r="Q2" s="219"/>
    </row>
    <row r="3" spans="1:17" s="97" customFormat="1" ht="21.75" customHeight="1">
      <c r="A3" s="615" t="s">
        <v>67</v>
      </c>
      <c r="B3" s="615"/>
      <c r="C3" s="615"/>
      <c r="D3" s="615"/>
      <c r="E3" s="615"/>
      <c r="F3" s="615"/>
      <c r="G3" s="615"/>
      <c r="H3" s="615"/>
      <c r="I3" s="615"/>
      <c r="J3" s="615"/>
      <c r="K3" s="615"/>
      <c r="L3" s="615"/>
      <c r="M3" s="615"/>
      <c r="N3" s="219"/>
      <c r="O3" s="219"/>
      <c r="P3" s="219"/>
      <c r="Q3" s="219"/>
    </row>
    <row r="4" spans="1:17" s="97" customFormat="1" ht="29.25" customHeight="1">
      <c r="A4" s="616" t="str">
        <f>'DA1'!A4:O4</f>
        <v>(Kèm theo Văn bản số        /SLĐTBXH-BTXH ngày     tháng 11 năm 2022 của Sở Lao động - Thương binh và Xã hội)</v>
      </c>
      <c r="B4" s="616"/>
      <c r="C4" s="616"/>
      <c r="D4" s="616"/>
      <c r="E4" s="616"/>
      <c r="F4" s="616"/>
      <c r="G4" s="616"/>
      <c r="H4" s="616"/>
      <c r="I4" s="616"/>
      <c r="J4" s="616"/>
      <c r="K4" s="616"/>
      <c r="L4" s="616"/>
      <c r="M4" s="616"/>
      <c r="N4" s="219"/>
      <c r="O4" s="219"/>
      <c r="P4" s="219"/>
      <c r="Q4" s="219"/>
    </row>
    <row r="5" spans="1:17" ht="22.5" customHeight="1">
      <c r="A5" s="216"/>
      <c r="B5" s="217"/>
      <c r="C5" s="216"/>
      <c r="D5" s="218"/>
      <c r="E5" s="218"/>
      <c r="F5" s="218"/>
      <c r="G5" s="218"/>
      <c r="H5" s="216"/>
      <c r="I5" s="216"/>
      <c r="J5" s="216"/>
      <c r="K5" s="216"/>
      <c r="L5" s="216"/>
      <c r="M5" s="216"/>
      <c r="N5" s="216"/>
      <c r="O5" s="216"/>
      <c r="P5" s="216"/>
      <c r="Q5" s="216"/>
    </row>
    <row r="6" spans="1:17" s="99" customFormat="1" ht="29.25" customHeight="1">
      <c r="A6" s="617" t="s">
        <v>47</v>
      </c>
      <c r="B6" s="617" t="s">
        <v>48</v>
      </c>
      <c r="C6" s="617" t="s">
        <v>49</v>
      </c>
      <c r="D6" s="617"/>
      <c r="E6" s="617"/>
      <c r="F6" s="617"/>
      <c r="G6" s="617"/>
      <c r="H6" s="617"/>
      <c r="I6" s="617"/>
      <c r="J6" s="617"/>
      <c r="K6" s="617"/>
      <c r="L6" s="610" t="s">
        <v>68</v>
      </c>
      <c r="M6" s="610" t="s">
        <v>6</v>
      </c>
      <c r="N6" s="220"/>
      <c r="O6" s="221"/>
      <c r="P6" s="221"/>
      <c r="Q6" s="221"/>
    </row>
    <row r="7" spans="1:17" s="101" customFormat="1" ht="43.5" customHeight="1">
      <c r="A7" s="617"/>
      <c r="B7" s="617"/>
      <c r="C7" s="610" t="s">
        <v>111</v>
      </c>
      <c r="D7" s="610"/>
      <c r="E7" s="613" t="s">
        <v>112</v>
      </c>
      <c r="F7" s="613"/>
      <c r="G7" s="610" t="s">
        <v>71</v>
      </c>
      <c r="H7" s="610"/>
      <c r="I7" s="610" t="s">
        <v>54</v>
      </c>
      <c r="J7" s="610"/>
      <c r="K7" s="610" t="s">
        <v>72</v>
      </c>
      <c r="L7" s="610"/>
      <c r="M7" s="610"/>
      <c r="N7" s="222"/>
      <c r="O7" s="223"/>
      <c r="P7" s="223"/>
      <c r="Q7" s="223"/>
    </row>
    <row r="8" spans="1:17" s="101" customFormat="1" ht="18.75" customHeight="1">
      <c r="A8" s="617"/>
      <c r="B8" s="617"/>
      <c r="C8" s="610" t="s">
        <v>73</v>
      </c>
      <c r="D8" s="613" t="s">
        <v>57</v>
      </c>
      <c r="E8" s="613" t="s">
        <v>74</v>
      </c>
      <c r="F8" s="613" t="s">
        <v>57</v>
      </c>
      <c r="G8" s="613" t="s">
        <v>59</v>
      </c>
      <c r="H8" s="610" t="s">
        <v>57</v>
      </c>
      <c r="I8" s="610" t="s">
        <v>60</v>
      </c>
      <c r="J8" s="610" t="s">
        <v>57</v>
      </c>
      <c r="K8" s="610"/>
      <c r="L8" s="610"/>
      <c r="M8" s="610"/>
      <c r="N8" s="223"/>
      <c r="O8" s="223"/>
      <c r="P8" s="223"/>
      <c r="Q8" s="223"/>
    </row>
    <row r="9" spans="1:17" s="101" customFormat="1" ht="33" customHeight="1">
      <c r="A9" s="617"/>
      <c r="B9" s="617"/>
      <c r="C9" s="610"/>
      <c r="D9" s="613"/>
      <c r="E9" s="613"/>
      <c r="F9" s="613"/>
      <c r="G9" s="613"/>
      <c r="H9" s="610"/>
      <c r="I9" s="610"/>
      <c r="J9" s="610"/>
      <c r="K9" s="610"/>
      <c r="L9" s="610"/>
      <c r="M9" s="610"/>
      <c r="N9" s="223"/>
      <c r="O9" s="223" t="s">
        <v>75</v>
      </c>
      <c r="P9" s="223" t="s">
        <v>76</v>
      </c>
      <c r="Q9" s="223" t="s">
        <v>77</v>
      </c>
    </row>
    <row r="10" spans="1:17" s="99" customFormat="1" ht="45" customHeight="1">
      <c r="A10" s="224" t="s">
        <v>21</v>
      </c>
      <c r="B10" s="224" t="s">
        <v>22</v>
      </c>
      <c r="C10" s="225">
        <v>1</v>
      </c>
      <c r="D10" s="226">
        <v>2</v>
      </c>
      <c r="E10" s="225">
        <v>3</v>
      </c>
      <c r="F10" s="226">
        <v>4</v>
      </c>
      <c r="G10" s="225">
        <v>5</v>
      </c>
      <c r="H10" s="226">
        <v>6</v>
      </c>
      <c r="I10" s="225">
        <v>7</v>
      </c>
      <c r="J10" s="226">
        <v>8</v>
      </c>
      <c r="K10" s="225" t="s">
        <v>78</v>
      </c>
      <c r="L10" s="226">
        <v>10</v>
      </c>
      <c r="M10" s="225" t="s">
        <v>23</v>
      </c>
      <c r="N10" s="221">
        <f>N11/7</f>
        <v>10873.285714285714</v>
      </c>
      <c r="O10" s="221"/>
      <c r="P10" s="221" t="s">
        <v>79</v>
      </c>
      <c r="Q10" s="221"/>
    </row>
    <row r="11" spans="1:17" s="98" customFormat="1" ht="23.25" customHeight="1">
      <c r="A11" s="423"/>
      <c r="B11" s="423" t="s">
        <v>7</v>
      </c>
      <c r="C11" s="424">
        <f>SUM(C12:C21)</f>
        <v>452.87000000000006</v>
      </c>
      <c r="D11" s="424">
        <f>SUM(D12:D21)</f>
        <v>5.9</v>
      </c>
      <c r="E11" s="425">
        <f>SUM(E12:E21)</f>
        <v>57576</v>
      </c>
      <c r="F11" s="424">
        <f>SUM(F12:F21)</f>
        <v>6.050000000000002</v>
      </c>
      <c r="G11" s="425"/>
      <c r="H11" s="425">
        <f>SUM(H12:H21)</f>
        <v>7</v>
      </c>
      <c r="I11" s="425">
        <f>SUM(I12:I21)</f>
        <v>129</v>
      </c>
      <c r="J11" s="424">
        <f>SUM(J12:J21)</f>
        <v>13.049999999999999</v>
      </c>
      <c r="K11" s="424">
        <f>SUM(K12:K21)</f>
        <v>18.475</v>
      </c>
      <c r="L11" s="425">
        <f>SUM(L12:L21)</f>
        <v>76113</v>
      </c>
      <c r="M11" s="424"/>
      <c r="N11" s="229">
        <v>76113</v>
      </c>
      <c r="O11" s="230">
        <v>18.475</v>
      </c>
      <c r="P11" s="231">
        <f aca="true" t="shared" si="0" ref="P11:P22">K11*N11/O11</f>
        <v>76113</v>
      </c>
      <c r="Q11" s="232">
        <f>L11-P11</f>
        <v>0</v>
      </c>
    </row>
    <row r="12" spans="1:17" s="421" customFormat="1" ht="20.25" customHeight="1">
      <c r="A12" s="366">
        <v>1</v>
      </c>
      <c r="B12" s="355" t="s">
        <v>36</v>
      </c>
      <c r="C12" s="367">
        <v>65.59</v>
      </c>
      <c r="D12" s="368">
        <v>0.7</v>
      </c>
      <c r="E12" s="369">
        <f>5655+535</f>
        <v>6190</v>
      </c>
      <c r="F12" s="370">
        <v>0.6000000000000001</v>
      </c>
      <c r="G12" s="426" t="s">
        <v>80</v>
      </c>
      <c r="H12" s="427">
        <v>1</v>
      </c>
      <c r="I12" s="372">
        <v>11</v>
      </c>
      <c r="J12" s="371">
        <v>1.15</v>
      </c>
      <c r="K12" s="371">
        <f aca="true" t="shared" si="1" ref="K12:K21">(D12+F12)*(0.12*H12*2.5+J12)</f>
        <v>1.885</v>
      </c>
      <c r="L12" s="356">
        <v>7766</v>
      </c>
      <c r="M12" s="430"/>
      <c r="N12" s="374">
        <v>76113</v>
      </c>
      <c r="O12" s="373">
        <v>18.475</v>
      </c>
      <c r="P12" s="428">
        <f t="shared" si="0"/>
        <v>7765.791880920162</v>
      </c>
      <c r="Q12" s="429"/>
    </row>
    <row r="13" spans="1:17" s="421" customFormat="1" ht="20.25" customHeight="1">
      <c r="A13" s="233">
        <v>2</v>
      </c>
      <c r="B13" s="234" t="s">
        <v>37</v>
      </c>
      <c r="C13" s="235">
        <v>64.65</v>
      </c>
      <c r="D13" s="236">
        <v>0.7</v>
      </c>
      <c r="E13" s="237">
        <f>5259+986</f>
        <v>6245</v>
      </c>
      <c r="F13" s="238">
        <v>0.6000000000000001</v>
      </c>
      <c r="G13" s="239" t="s">
        <v>80</v>
      </c>
      <c r="H13" s="240">
        <v>1</v>
      </c>
      <c r="I13" s="241">
        <v>12</v>
      </c>
      <c r="J13" s="242">
        <v>1.15</v>
      </c>
      <c r="K13" s="242">
        <f t="shared" si="1"/>
        <v>1.885</v>
      </c>
      <c r="L13" s="243">
        <v>7766</v>
      </c>
      <c r="M13" s="244"/>
      <c r="N13" s="374">
        <v>76113</v>
      </c>
      <c r="O13" s="373">
        <v>18.475</v>
      </c>
      <c r="P13" s="428">
        <f t="shared" si="0"/>
        <v>7765.791880920162</v>
      </c>
      <c r="Q13" s="429"/>
    </row>
    <row r="14" spans="1:17" s="421" customFormat="1" ht="20.25" customHeight="1">
      <c r="A14" s="233">
        <v>3</v>
      </c>
      <c r="B14" s="234" t="s">
        <v>38</v>
      </c>
      <c r="C14" s="235">
        <v>61.8</v>
      </c>
      <c r="D14" s="236">
        <v>0.7</v>
      </c>
      <c r="E14" s="237">
        <f>5475+1841</f>
        <v>7316</v>
      </c>
      <c r="F14" s="238">
        <v>0.7</v>
      </c>
      <c r="G14" s="239" t="s">
        <v>80</v>
      </c>
      <c r="H14" s="240">
        <v>1</v>
      </c>
      <c r="I14" s="241">
        <v>12</v>
      </c>
      <c r="J14" s="242">
        <v>1.15</v>
      </c>
      <c r="K14" s="242">
        <f t="shared" si="1"/>
        <v>2.03</v>
      </c>
      <c r="L14" s="243">
        <v>8363</v>
      </c>
      <c r="M14" s="244"/>
      <c r="N14" s="374">
        <v>76113</v>
      </c>
      <c r="O14" s="373">
        <v>18.475</v>
      </c>
      <c r="P14" s="428">
        <f t="shared" si="0"/>
        <v>8363.160487144789</v>
      </c>
      <c r="Q14" s="429"/>
    </row>
    <row r="15" spans="1:17" s="421" customFormat="1" ht="20.25" customHeight="1">
      <c r="A15" s="233">
        <v>4</v>
      </c>
      <c r="B15" s="234" t="s">
        <v>39</v>
      </c>
      <c r="C15" s="235">
        <v>57.63</v>
      </c>
      <c r="D15" s="236">
        <v>0.6000000000000001</v>
      </c>
      <c r="E15" s="237">
        <f>9485+1509</f>
        <v>10994</v>
      </c>
      <c r="F15" s="238">
        <v>0.9</v>
      </c>
      <c r="G15" s="239" t="s">
        <v>80</v>
      </c>
      <c r="H15" s="240">
        <v>1</v>
      </c>
      <c r="I15" s="241">
        <v>19</v>
      </c>
      <c r="J15" s="242">
        <v>1.5</v>
      </c>
      <c r="K15" s="242">
        <f t="shared" si="1"/>
        <v>2.7</v>
      </c>
      <c r="L15" s="243">
        <v>11123</v>
      </c>
      <c r="M15" s="244"/>
      <c r="N15" s="374">
        <v>76113</v>
      </c>
      <c r="O15" s="373">
        <v>18.475</v>
      </c>
      <c r="P15" s="428">
        <f t="shared" si="0"/>
        <v>11123.415426251691</v>
      </c>
      <c r="Q15" s="429"/>
    </row>
    <row r="16" spans="1:17" s="421" customFormat="1" ht="20.25" customHeight="1">
      <c r="A16" s="233">
        <v>5</v>
      </c>
      <c r="B16" s="234" t="s">
        <v>40</v>
      </c>
      <c r="C16" s="235">
        <v>58.62</v>
      </c>
      <c r="D16" s="236">
        <v>0.6000000000000001</v>
      </c>
      <c r="E16" s="237">
        <f>7274+741</f>
        <v>8015</v>
      </c>
      <c r="F16" s="238">
        <v>0.8</v>
      </c>
      <c r="G16" s="239" t="s">
        <v>80</v>
      </c>
      <c r="H16" s="240">
        <v>1</v>
      </c>
      <c r="I16" s="241">
        <v>14</v>
      </c>
      <c r="J16" s="242">
        <v>1.3</v>
      </c>
      <c r="K16" s="242">
        <f t="shared" si="1"/>
        <v>2.24</v>
      </c>
      <c r="L16" s="243">
        <v>9228</v>
      </c>
      <c r="M16" s="244"/>
      <c r="N16" s="374">
        <v>76113</v>
      </c>
      <c r="O16" s="373">
        <v>18.475</v>
      </c>
      <c r="P16" s="428">
        <f t="shared" si="0"/>
        <v>9228.3150202977</v>
      </c>
      <c r="Q16" s="429"/>
    </row>
    <row r="17" spans="1:17" ht="20.25" customHeight="1">
      <c r="A17" s="233">
        <v>6</v>
      </c>
      <c r="B17" s="234" t="s">
        <v>41</v>
      </c>
      <c r="C17" s="235">
        <v>50.11</v>
      </c>
      <c r="D17" s="236">
        <v>0.6000000000000001</v>
      </c>
      <c r="E17" s="237">
        <f>4243+1343</f>
        <v>5586</v>
      </c>
      <c r="F17" s="236">
        <v>0.5</v>
      </c>
      <c r="G17" s="239" t="s">
        <v>80</v>
      </c>
      <c r="H17" s="240">
        <v>1</v>
      </c>
      <c r="I17" s="245">
        <v>10</v>
      </c>
      <c r="J17" s="235">
        <v>1.15</v>
      </c>
      <c r="K17" s="242">
        <f t="shared" si="1"/>
        <v>1.595</v>
      </c>
      <c r="L17" s="243">
        <v>6571</v>
      </c>
      <c r="M17" s="246"/>
      <c r="N17" s="229">
        <v>76113</v>
      </c>
      <c r="O17" s="230">
        <v>18.475</v>
      </c>
      <c r="P17" s="231">
        <f t="shared" si="0"/>
        <v>6571.054668470906</v>
      </c>
      <c r="Q17" s="216"/>
    </row>
    <row r="18" spans="1:17" ht="20.25" customHeight="1">
      <c r="A18" s="233">
        <v>7</v>
      </c>
      <c r="B18" s="234" t="s">
        <v>42</v>
      </c>
      <c r="C18" s="235">
        <v>60.17</v>
      </c>
      <c r="D18" s="236">
        <v>0.7</v>
      </c>
      <c r="E18" s="237">
        <f>6221+559</f>
        <v>6780</v>
      </c>
      <c r="F18" s="238">
        <v>0.7</v>
      </c>
      <c r="G18" s="239" t="s">
        <v>80</v>
      </c>
      <c r="H18" s="240">
        <v>1</v>
      </c>
      <c r="I18" s="241">
        <v>15</v>
      </c>
      <c r="J18" s="242">
        <v>1.5</v>
      </c>
      <c r="K18" s="242">
        <f t="shared" si="1"/>
        <v>2.52</v>
      </c>
      <c r="L18" s="243">
        <v>10382</v>
      </c>
      <c r="M18" s="244"/>
      <c r="N18" s="229">
        <v>76113</v>
      </c>
      <c r="O18" s="230">
        <v>18.475</v>
      </c>
      <c r="P18" s="231">
        <f t="shared" si="0"/>
        <v>10381.854397834912</v>
      </c>
      <c r="Q18" s="216"/>
    </row>
    <row r="19" spans="1:17" ht="20.25" customHeight="1">
      <c r="A19" s="233">
        <v>8</v>
      </c>
      <c r="B19" s="234" t="s">
        <v>43</v>
      </c>
      <c r="C19" s="235">
        <f>11.9+9.65</f>
        <v>21.55</v>
      </c>
      <c r="D19" s="236">
        <v>0.5</v>
      </c>
      <c r="E19" s="237">
        <f>2997+2429</f>
        <v>5426</v>
      </c>
      <c r="F19" s="238">
        <v>0.45</v>
      </c>
      <c r="G19" s="239"/>
      <c r="H19" s="242"/>
      <c r="I19" s="241">
        <v>21</v>
      </c>
      <c r="J19" s="242">
        <v>2</v>
      </c>
      <c r="K19" s="242">
        <f t="shared" si="1"/>
        <v>1.9</v>
      </c>
      <c r="L19" s="243">
        <v>7828</v>
      </c>
      <c r="M19" s="244"/>
      <c r="N19" s="229">
        <v>76113</v>
      </c>
      <c r="O19" s="230">
        <v>18.475</v>
      </c>
      <c r="P19" s="231">
        <f t="shared" si="0"/>
        <v>7827.5886332882255</v>
      </c>
      <c r="Q19" s="216"/>
    </row>
    <row r="20" spans="1:17" ht="22.5" customHeight="1">
      <c r="A20" s="247">
        <v>9</v>
      </c>
      <c r="B20" s="248" t="s">
        <v>44</v>
      </c>
      <c r="C20" s="249">
        <f>8.06+1.17</f>
        <v>9.23</v>
      </c>
      <c r="D20" s="250">
        <v>0.4</v>
      </c>
      <c r="E20" s="251">
        <f>249+36</f>
        <v>285</v>
      </c>
      <c r="F20" s="252">
        <v>0.4</v>
      </c>
      <c r="G20" s="253"/>
      <c r="H20" s="254"/>
      <c r="I20" s="255">
        <v>3</v>
      </c>
      <c r="J20" s="254">
        <v>1</v>
      </c>
      <c r="K20" s="242">
        <f t="shared" si="1"/>
        <v>0.8</v>
      </c>
      <c r="L20" s="256">
        <v>3296</v>
      </c>
      <c r="M20" s="257"/>
      <c r="N20" s="229">
        <v>76113</v>
      </c>
      <c r="O20" s="230">
        <v>18.475</v>
      </c>
      <c r="P20" s="231">
        <f t="shared" si="0"/>
        <v>3295.826792963464</v>
      </c>
      <c r="Q20" s="216"/>
    </row>
    <row r="21" spans="1:17" ht="20.25" customHeight="1">
      <c r="A21" s="247">
        <v>10</v>
      </c>
      <c r="B21" s="248" t="s">
        <v>45</v>
      </c>
      <c r="C21" s="249">
        <f>1.79+1.73</f>
        <v>3.52</v>
      </c>
      <c r="D21" s="250">
        <v>0.4</v>
      </c>
      <c r="E21" s="251">
        <f>375+364</f>
        <v>739</v>
      </c>
      <c r="F21" s="252">
        <v>0.4</v>
      </c>
      <c r="G21" s="253"/>
      <c r="H21" s="254"/>
      <c r="I21" s="255">
        <v>12</v>
      </c>
      <c r="J21" s="254">
        <v>1.15</v>
      </c>
      <c r="K21" s="242">
        <f t="shared" si="1"/>
        <v>0.9199999999999999</v>
      </c>
      <c r="L21" s="256">
        <v>3790</v>
      </c>
      <c r="M21" s="257"/>
      <c r="N21" s="229">
        <v>76113</v>
      </c>
      <c r="O21" s="230">
        <v>18.475</v>
      </c>
      <c r="P21" s="231">
        <f t="shared" si="0"/>
        <v>3790.200811907983</v>
      </c>
      <c r="Q21" s="216"/>
    </row>
    <row r="22" spans="1:17" s="138" customFormat="1" ht="20.25" customHeight="1">
      <c r="A22" s="258"/>
      <c r="B22" s="259"/>
      <c r="C22" s="260"/>
      <c r="D22" s="261"/>
      <c r="E22" s="262"/>
      <c r="F22" s="263"/>
      <c r="G22" s="261"/>
      <c r="H22" s="264"/>
      <c r="I22" s="265"/>
      <c r="J22" s="264"/>
      <c r="K22" s="264"/>
      <c r="L22" s="265"/>
      <c r="M22" s="266"/>
      <c r="N22" s="229">
        <v>76113</v>
      </c>
      <c r="O22" s="230">
        <v>18.475</v>
      </c>
      <c r="P22" s="220">
        <f t="shared" si="0"/>
        <v>0</v>
      </c>
      <c r="Q22" s="267"/>
    </row>
    <row r="23" spans="1:17" ht="57.75" customHeight="1">
      <c r="A23" s="611" t="s">
        <v>81</v>
      </c>
      <c r="B23" s="611"/>
      <c r="C23" s="611"/>
      <c r="D23" s="611"/>
      <c r="E23" s="611"/>
      <c r="F23" s="611"/>
      <c r="G23" s="611"/>
      <c r="H23" s="611"/>
      <c r="I23" s="611"/>
      <c r="J23" s="611"/>
      <c r="K23" s="611"/>
      <c r="L23" s="611"/>
      <c r="M23" s="611"/>
      <c r="N23" s="216"/>
      <c r="O23" s="216"/>
      <c r="P23" s="216"/>
      <c r="Q23" s="216"/>
    </row>
    <row r="24" spans="1:13" s="97" customFormat="1" ht="60" customHeight="1">
      <c r="A24" s="602"/>
      <c r="B24" s="602"/>
      <c r="C24" s="602"/>
      <c r="D24" s="602"/>
      <c r="E24" s="602"/>
      <c r="F24" s="602"/>
      <c r="G24" s="602"/>
      <c r="H24" s="602"/>
      <c r="I24" s="602"/>
      <c r="J24" s="602"/>
      <c r="K24" s="602"/>
      <c r="L24" s="602"/>
      <c r="M24" s="602"/>
    </row>
    <row r="25" spans="1:13" s="97" customFormat="1" ht="23.25" customHeight="1">
      <c r="A25" s="602"/>
      <c r="B25" s="602"/>
      <c r="C25" s="602"/>
      <c r="D25" s="602"/>
      <c r="E25" s="602"/>
      <c r="F25" s="602"/>
      <c r="G25" s="602"/>
      <c r="H25" s="602"/>
      <c r="I25" s="602"/>
      <c r="J25" s="602"/>
      <c r="K25" s="602"/>
      <c r="L25" s="602"/>
      <c r="M25" s="602"/>
    </row>
    <row r="26" spans="1:13" ht="30.75" customHeight="1">
      <c r="A26" s="612"/>
      <c r="B26" s="612"/>
      <c r="C26" s="612"/>
      <c r="D26" s="612"/>
      <c r="E26" s="612"/>
      <c r="F26" s="612"/>
      <c r="G26" s="612"/>
      <c r="H26" s="612"/>
      <c r="I26" s="612"/>
      <c r="J26" s="612"/>
      <c r="K26" s="612"/>
      <c r="L26" s="612"/>
      <c r="M26" s="612"/>
    </row>
  </sheetData>
  <sheetProtection selectLockedCells="1" selectUnlockedCells="1"/>
  <mergeCells count="26">
    <mergeCell ref="L1:M1"/>
    <mergeCell ref="A2:M2"/>
    <mergeCell ref="A3:M3"/>
    <mergeCell ref="A4:M4"/>
    <mergeCell ref="A6:A9"/>
    <mergeCell ref="B6:B9"/>
    <mergeCell ref="C6:K6"/>
    <mergeCell ref="L6:L9"/>
    <mergeCell ref="M6:M9"/>
    <mergeCell ref="C7:D7"/>
    <mergeCell ref="E7:F7"/>
    <mergeCell ref="G7:H7"/>
    <mergeCell ref="I7:J7"/>
    <mergeCell ref="K7:K9"/>
    <mergeCell ref="C8:C9"/>
    <mergeCell ref="D8:D9"/>
    <mergeCell ref="E8:E9"/>
    <mergeCell ref="F8:F9"/>
    <mergeCell ref="G8:G9"/>
    <mergeCell ref="H8:H9"/>
    <mergeCell ref="I8:I9"/>
    <mergeCell ref="J8:J9"/>
    <mergeCell ref="A23:M23"/>
    <mergeCell ref="A24:M24"/>
    <mergeCell ref="A25:M25"/>
    <mergeCell ref="A26:M26"/>
  </mergeCells>
  <printOptions horizontalCentered="1"/>
  <pageMargins left="0" right="0" top="0.5902777777777778" bottom="0.5902777777777778" header="0.5118055555555555" footer="0.5118055555555555"/>
  <pageSetup horizontalDpi="300" verticalDpi="300" orientation="landscape" paperSize="9" scale="85" r:id="rId1"/>
</worksheet>
</file>

<file path=xl/worksheets/sheet8.xml><?xml version="1.0" encoding="utf-8"?>
<worksheet xmlns="http://schemas.openxmlformats.org/spreadsheetml/2006/main" xmlns:r="http://schemas.openxmlformats.org/officeDocument/2006/relationships">
  <sheetPr>
    <tabColor rgb="FF92D050"/>
  </sheetPr>
  <dimension ref="A1:Y31"/>
  <sheetViews>
    <sheetView zoomScale="85" zoomScaleNormal="85" zoomScalePageLayoutView="0" workbookViewId="0" topLeftCell="A15">
      <selection activeCell="A16" sqref="A16:R26"/>
    </sheetView>
  </sheetViews>
  <sheetFormatPr defaultColWidth="9.00390625" defaultRowHeight="12.75"/>
  <cols>
    <col min="1" max="1" width="3.8515625" style="94" customWidth="1"/>
    <col min="2" max="2" width="20.57421875" style="95" customWidth="1"/>
    <col min="3" max="3" width="8.7109375" style="94" customWidth="1"/>
    <col min="4" max="4" width="7.28125" style="96" customWidth="1"/>
    <col min="5" max="6" width="10.7109375" style="96" customWidth="1"/>
    <col min="7" max="7" width="6.57421875" style="96" customWidth="1"/>
    <col min="8" max="8" width="6.57421875" style="94" customWidth="1"/>
    <col min="9" max="9" width="7.7109375" style="94" customWidth="1"/>
    <col min="10" max="10" width="8.140625" style="94" customWidth="1"/>
    <col min="11" max="11" width="9.00390625" style="94" customWidth="1"/>
    <col min="12" max="12" width="8.7109375" style="94" customWidth="1"/>
    <col min="13" max="13" width="10.140625" style="94" customWidth="1"/>
    <col min="14" max="14" width="8.57421875" style="94" customWidth="1"/>
    <col min="15" max="15" width="9.7109375" style="94" customWidth="1"/>
    <col min="16" max="16" width="12.57421875" style="94" customWidth="1"/>
    <col min="17" max="17" width="9.140625" style="94" customWidth="1"/>
    <col min="18" max="18" width="9.28125" style="94" customWidth="1"/>
    <col min="19" max="19" width="12.00390625" style="94" hidden="1" customWidth="1"/>
    <col min="20" max="20" width="15.00390625" style="94" hidden="1" customWidth="1"/>
    <col min="21" max="21" width="12.00390625" style="94" hidden="1" customWidth="1"/>
    <col min="22" max="22" width="4.7109375" style="94" hidden="1" customWidth="1"/>
    <col min="23" max="23" width="14.7109375" style="94" hidden="1" customWidth="1"/>
    <col min="24" max="24" width="10.7109375" style="94" hidden="1" customWidth="1"/>
    <col min="25" max="25" width="14.421875" style="94" hidden="1" customWidth="1"/>
    <col min="26" max="31" width="0" style="94" hidden="1" customWidth="1"/>
    <col min="32" max="16384" width="9.00390625" style="94" customWidth="1"/>
  </cols>
  <sheetData>
    <row r="1" spans="16:18" ht="15.75">
      <c r="P1" s="621" t="s">
        <v>82</v>
      </c>
      <c r="Q1" s="621"/>
      <c r="R1" s="621"/>
    </row>
    <row r="2" spans="1:18" s="97" customFormat="1" ht="28.5" customHeight="1">
      <c r="A2" s="607" t="str">
        <f>'DA2'!A2:M2</f>
        <v>ĐỀ NGHỊ PHÂN BỔ NGUỒN VỐN SỰ NGHIỆP CHƯƠNG TRÌNH MTQG GIẢM NGHÈO BỀN VỮNG, NĂM 2023</v>
      </c>
      <c r="B2" s="607"/>
      <c r="C2" s="607"/>
      <c r="D2" s="607"/>
      <c r="E2" s="607"/>
      <c r="F2" s="607"/>
      <c r="G2" s="607"/>
      <c r="H2" s="607"/>
      <c r="I2" s="607"/>
      <c r="J2" s="607"/>
      <c r="K2" s="607"/>
      <c r="L2" s="607"/>
      <c r="M2" s="607"/>
      <c r="N2" s="607"/>
      <c r="O2" s="607"/>
      <c r="P2" s="607"/>
      <c r="Q2" s="607"/>
      <c r="R2" s="607"/>
    </row>
    <row r="3" spans="1:18" s="97" customFormat="1" ht="21.75" customHeight="1">
      <c r="A3" s="607" t="s">
        <v>2</v>
      </c>
      <c r="B3" s="607"/>
      <c r="C3" s="607"/>
      <c r="D3" s="607"/>
      <c r="E3" s="607"/>
      <c r="F3" s="607"/>
      <c r="G3" s="607"/>
      <c r="H3" s="607"/>
      <c r="I3" s="607"/>
      <c r="J3" s="607"/>
      <c r="K3" s="607"/>
      <c r="L3" s="607"/>
      <c r="M3" s="607"/>
      <c r="N3" s="607"/>
      <c r="O3" s="607"/>
      <c r="P3" s="607"/>
      <c r="Q3" s="607"/>
      <c r="R3" s="607"/>
    </row>
    <row r="4" spans="1:18" s="97" customFormat="1" ht="24" customHeight="1">
      <c r="A4" s="608" t="str">
        <f>'DA2'!A4:M4</f>
        <v>(Kèm theo Văn bản số        /SLĐTBXH-BTXH ngày     tháng 11 năm 2022 của Sở Lao động - Thương binh và Xã hội)</v>
      </c>
      <c r="B4" s="608"/>
      <c r="C4" s="608"/>
      <c r="D4" s="608"/>
      <c r="E4" s="608"/>
      <c r="F4" s="608"/>
      <c r="G4" s="608"/>
      <c r="H4" s="608"/>
      <c r="I4" s="608"/>
      <c r="J4" s="608"/>
      <c r="K4" s="608"/>
      <c r="L4" s="608"/>
      <c r="M4" s="608"/>
      <c r="N4" s="608"/>
      <c r="O4" s="608"/>
      <c r="P4" s="608"/>
      <c r="Q4" s="608"/>
      <c r="R4" s="608"/>
    </row>
    <row r="5" ht="10.5" customHeight="1"/>
    <row r="6" spans="1:19" s="99" customFormat="1" ht="29.25" customHeight="1">
      <c r="A6" s="618" t="s">
        <v>47</v>
      </c>
      <c r="B6" s="618" t="s">
        <v>48</v>
      </c>
      <c r="C6" s="624" t="s">
        <v>49</v>
      </c>
      <c r="D6" s="625"/>
      <c r="E6" s="625"/>
      <c r="F6" s="625"/>
      <c r="G6" s="625"/>
      <c r="H6" s="625"/>
      <c r="I6" s="625"/>
      <c r="J6" s="625"/>
      <c r="K6" s="625"/>
      <c r="L6" s="625"/>
      <c r="M6" s="625"/>
      <c r="N6" s="626"/>
      <c r="O6" s="624" t="s">
        <v>83</v>
      </c>
      <c r="P6" s="625"/>
      <c r="Q6" s="626"/>
      <c r="R6" s="618" t="s">
        <v>6</v>
      </c>
      <c r="S6" s="98"/>
    </row>
    <row r="7" spans="1:19" s="101" customFormat="1" ht="48" customHeight="1">
      <c r="A7" s="618"/>
      <c r="B7" s="618"/>
      <c r="C7" s="618" t="s">
        <v>111</v>
      </c>
      <c r="D7" s="618"/>
      <c r="E7" s="620" t="s">
        <v>112</v>
      </c>
      <c r="F7" s="620"/>
      <c r="G7" s="618" t="s">
        <v>71</v>
      </c>
      <c r="H7" s="618"/>
      <c r="I7" s="618" t="s">
        <v>54</v>
      </c>
      <c r="J7" s="618"/>
      <c r="K7" s="624" t="s">
        <v>136</v>
      </c>
      <c r="L7" s="626"/>
      <c r="M7" s="618" t="s">
        <v>134</v>
      </c>
      <c r="N7" s="618" t="s">
        <v>135</v>
      </c>
      <c r="O7" s="618" t="s">
        <v>143</v>
      </c>
      <c r="P7" s="624" t="s">
        <v>9</v>
      </c>
      <c r="Q7" s="626"/>
      <c r="R7" s="618"/>
      <c r="S7" s="100"/>
    </row>
    <row r="8" spans="1:25" s="101" customFormat="1" ht="18.75" customHeight="1">
      <c r="A8" s="618"/>
      <c r="B8" s="618"/>
      <c r="C8" s="618" t="s">
        <v>73</v>
      </c>
      <c r="D8" s="620" t="s">
        <v>57</v>
      </c>
      <c r="E8" s="620" t="s">
        <v>74</v>
      </c>
      <c r="F8" s="620" t="s">
        <v>57</v>
      </c>
      <c r="G8" s="620" t="s">
        <v>59</v>
      </c>
      <c r="H8" s="618" t="s">
        <v>57</v>
      </c>
      <c r="I8" s="618" t="s">
        <v>60</v>
      </c>
      <c r="J8" s="618" t="s">
        <v>57</v>
      </c>
      <c r="K8" s="627"/>
      <c r="L8" s="627"/>
      <c r="M8" s="618"/>
      <c r="N8" s="618"/>
      <c r="O8" s="618"/>
      <c r="P8" s="618" t="s">
        <v>84</v>
      </c>
      <c r="Q8" s="627" t="s">
        <v>113</v>
      </c>
      <c r="R8" s="618"/>
      <c r="S8" s="622" t="s">
        <v>140</v>
      </c>
      <c r="T8" s="623"/>
      <c r="U8" s="623"/>
      <c r="V8" s="193"/>
      <c r="W8" s="623" t="s">
        <v>138</v>
      </c>
      <c r="X8" s="623"/>
      <c r="Y8" s="623"/>
    </row>
    <row r="9" spans="1:25" s="101" customFormat="1" ht="69" customHeight="1">
      <c r="A9" s="618"/>
      <c r="B9" s="618"/>
      <c r="C9" s="618"/>
      <c r="D9" s="620"/>
      <c r="E9" s="620"/>
      <c r="F9" s="620"/>
      <c r="G9" s="620"/>
      <c r="H9" s="618"/>
      <c r="I9" s="618"/>
      <c r="J9" s="618"/>
      <c r="K9" s="628"/>
      <c r="L9" s="628"/>
      <c r="M9" s="618"/>
      <c r="N9" s="618"/>
      <c r="O9" s="618"/>
      <c r="P9" s="618"/>
      <c r="Q9" s="628"/>
      <c r="R9" s="618"/>
      <c r="T9" s="101" t="s">
        <v>85</v>
      </c>
      <c r="U9" s="101" t="s">
        <v>76</v>
      </c>
      <c r="V9" s="193"/>
      <c r="X9" s="101" t="s">
        <v>141</v>
      </c>
      <c r="Y9" s="101" t="s">
        <v>142</v>
      </c>
    </row>
    <row r="10" spans="1:22" s="99" customFormat="1" ht="42" customHeight="1">
      <c r="A10" s="209" t="s">
        <v>21</v>
      </c>
      <c r="B10" s="209" t="s">
        <v>22</v>
      </c>
      <c r="C10" s="209">
        <v>1</v>
      </c>
      <c r="D10" s="210">
        <v>2</v>
      </c>
      <c r="E10" s="209">
        <v>3</v>
      </c>
      <c r="F10" s="210">
        <v>4</v>
      </c>
      <c r="G10" s="209">
        <v>5</v>
      </c>
      <c r="H10" s="210">
        <v>6</v>
      </c>
      <c r="I10" s="209">
        <v>7</v>
      </c>
      <c r="J10" s="210">
        <v>8</v>
      </c>
      <c r="K10" s="210">
        <v>9</v>
      </c>
      <c r="L10" s="210">
        <v>10</v>
      </c>
      <c r="M10" s="209" t="s">
        <v>137</v>
      </c>
      <c r="N10" s="209" t="s">
        <v>139</v>
      </c>
      <c r="O10" s="211">
        <v>13</v>
      </c>
      <c r="P10" s="212">
        <v>14</v>
      </c>
      <c r="Q10" s="212">
        <v>15</v>
      </c>
      <c r="R10" s="211" t="s">
        <v>23</v>
      </c>
      <c r="V10" s="194"/>
    </row>
    <row r="11" spans="1:22" s="99" customFormat="1" ht="45" customHeight="1" hidden="1">
      <c r="A11" s="106"/>
      <c r="B11" s="106"/>
      <c r="C11" s="107"/>
      <c r="D11" s="108"/>
      <c r="E11" s="108"/>
      <c r="F11" s="108"/>
      <c r="G11" s="108"/>
      <c r="H11" s="107"/>
      <c r="I11" s="107"/>
      <c r="J11" s="107"/>
      <c r="K11" s="107"/>
      <c r="L11" s="107"/>
      <c r="M11" s="107"/>
      <c r="N11" s="107"/>
      <c r="O11" s="107"/>
      <c r="P11" s="107"/>
      <c r="Q11" s="145"/>
      <c r="R11" s="145"/>
      <c r="S11" s="146"/>
      <c r="V11" s="194"/>
    </row>
    <row r="12" spans="1:23" s="98" customFormat="1" ht="24.75" customHeight="1">
      <c r="A12" s="111"/>
      <c r="B12" s="111" t="s">
        <v>86</v>
      </c>
      <c r="C12" s="112">
        <f aca="true" t="shared" si="0" ref="C12:J12">SUM(C13,C16)</f>
        <v>452.87000000000006</v>
      </c>
      <c r="D12" s="112">
        <f t="shared" si="0"/>
        <v>5.9</v>
      </c>
      <c r="E12" s="112">
        <f t="shared" si="0"/>
        <v>57576</v>
      </c>
      <c r="F12" s="112">
        <f t="shared" si="0"/>
        <v>6.050000000000002</v>
      </c>
      <c r="G12" s="112">
        <f t="shared" si="0"/>
        <v>0</v>
      </c>
      <c r="H12" s="112">
        <f t="shared" si="0"/>
        <v>7</v>
      </c>
      <c r="I12" s="112">
        <f t="shared" si="0"/>
        <v>129</v>
      </c>
      <c r="J12" s="112">
        <f t="shared" si="0"/>
        <v>13.049999999999999</v>
      </c>
      <c r="K12" s="112"/>
      <c r="L12" s="112"/>
      <c r="M12" s="112">
        <f>SUM(M13,M16)</f>
        <v>18.475</v>
      </c>
      <c r="N12" s="112"/>
      <c r="O12" s="112">
        <f>SUM(O13,O16)</f>
        <v>44656</v>
      </c>
      <c r="P12" s="147">
        <f>SUM(P13,P16)</f>
        <v>33570</v>
      </c>
      <c r="Q12" s="147">
        <f>SUM(Q13,Q16)</f>
        <v>11086</v>
      </c>
      <c r="R12" s="147"/>
      <c r="S12" s="113">
        <v>33570</v>
      </c>
      <c r="T12" s="205">
        <v>25.84</v>
      </c>
      <c r="U12" s="148">
        <f>M12*S12/T12</f>
        <v>24001.770510835915</v>
      </c>
      <c r="V12" s="195"/>
      <c r="W12" s="139">
        <v>11086</v>
      </c>
    </row>
    <row r="13" spans="1:23" s="98" customFormat="1" ht="24.75" customHeight="1">
      <c r="A13" s="149" t="s">
        <v>24</v>
      </c>
      <c r="B13" s="149" t="s">
        <v>25</v>
      </c>
      <c r="C13" s="150"/>
      <c r="D13" s="150"/>
      <c r="E13" s="150"/>
      <c r="F13" s="150"/>
      <c r="G13" s="150"/>
      <c r="H13" s="150"/>
      <c r="I13" s="150"/>
      <c r="J13" s="150"/>
      <c r="K13" s="150"/>
      <c r="L13" s="150"/>
      <c r="M13" s="150"/>
      <c r="N13" s="150"/>
      <c r="O13" s="150">
        <f>O14+O15</f>
        <v>1771</v>
      </c>
      <c r="P13" s="147">
        <f>P14+P15</f>
        <v>671</v>
      </c>
      <c r="Q13" s="147">
        <f>Q14+Q15</f>
        <v>1100</v>
      </c>
      <c r="R13" s="147"/>
      <c r="S13" s="113"/>
      <c r="T13" s="205"/>
      <c r="U13" s="148"/>
      <c r="V13" s="195"/>
      <c r="W13" s="139"/>
    </row>
    <row r="14" spans="1:23" s="156" customFormat="1" ht="36.75" customHeight="1">
      <c r="A14" s="151">
        <v>1</v>
      </c>
      <c r="B14" s="151" t="s">
        <v>28</v>
      </c>
      <c r="C14" s="152"/>
      <c r="D14" s="152"/>
      <c r="E14" s="152"/>
      <c r="F14" s="152"/>
      <c r="G14" s="152"/>
      <c r="H14" s="152"/>
      <c r="I14" s="152"/>
      <c r="J14" s="152"/>
      <c r="K14" s="152"/>
      <c r="L14" s="152"/>
      <c r="M14" s="152"/>
      <c r="N14" s="152"/>
      <c r="O14" s="152">
        <f>P14+Q14</f>
        <v>671</v>
      </c>
      <c r="P14" s="143">
        <v>671</v>
      </c>
      <c r="Q14" s="143"/>
      <c r="R14" s="143"/>
      <c r="S14" s="153"/>
      <c r="T14" s="206"/>
      <c r="U14" s="154"/>
      <c r="V14" s="196"/>
      <c r="W14" s="155"/>
    </row>
    <row r="15" spans="1:23" s="156" customFormat="1" ht="27" customHeight="1">
      <c r="A15" s="408">
        <v>2</v>
      </c>
      <c r="B15" s="408" t="s">
        <v>29</v>
      </c>
      <c r="C15" s="409"/>
      <c r="D15" s="409"/>
      <c r="E15" s="409"/>
      <c r="F15" s="409"/>
      <c r="G15" s="409"/>
      <c r="H15" s="409"/>
      <c r="I15" s="409"/>
      <c r="J15" s="409"/>
      <c r="K15" s="409"/>
      <c r="L15" s="409"/>
      <c r="M15" s="409"/>
      <c r="N15" s="409"/>
      <c r="O15" s="409">
        <f>P15+Q15</f>
        <v>1100</v>
      </c>
      <c r="P15" s="144"/>
      <c r="Q15" s="144">
        <v>1100</v>
      </c>
      <c r="R15" s="144"/>
      <c r="S15" s="153"/>
      <c r="T15" s="206"/>
      <c r="U15" s="154"/>
      <c r="V15" s="196"/>
      <c r="W15" s="155"/>
    </row>
    <row r="16" spans="1:25" s="415" customFormat="1" ht="21" customHeight="1">
      <c r="A16" s="149" t="s">
        <v>34</v>
      </c>
      <c r="B16" s="149" t="s">
        <v>35</v>
      </c>
      <c r="C16" s="150">
        <f>SUM(C17:C26)</f>
        <v>452.87000000000006</v>
      </c>
      <c r="D16" s="150">
        <f>SUM(D17:D26)</f>
        <v>5.9</v>
      </c>
      <c r="E16" s="150">
        <f>SUM(E17:E26)</f>
        <v>57576</v>
      </c>
      <c r="F16" s="157">
        <f>SUM(F17:F26)</f>
        <v>6.050000000000002</v>
      </c>
      <c r="G16" s="150"/>
      <c r="H16" s="157">
        <f>SUM(H17:H26)</f>
        <v>7</v>
      </c>
      <c r="I16" s="150">
        <f>SUM(I17:I26)</f>
        <v>129</v>
      </c>
      <c r="J16" s="157">
        <f>SUM(J17:J26)</f>
        <v>13.049999999999999</v>
      </c>
      <c r="K16" s="157"/>
      <c r="L16" s="157">
        <f aca="true" t="shared" si="1" ref="L16:Q16">SUM(L17:L26)</f>
        <v>9.999999999999998</v>
      </c>
      <c r="M16" s="166">
        <f t="shared" si="1"/>
        <v>18.475</v>
      </c>
      <c r="N16" s="166">
        <f t="shared" si="1"/>
        <v>16.459999999999997</v>
      </c>
      <c r="O16" s="150">
        <f t="shared" si="1"/>
        <v>42885</v>
      </c>
      <c r="P16" s="150">
        <f t="shared" si="1"/>
        <v>32899</v>
      </c>
      <c r="Q16" s="150">
        <f t="shared" si="1"/>
        <v>9986</v>
      </c>
      <c r="R16" s="422">
        <f>D16+F16+H16+J16</f>
        <v>32</v>
      </c>
      <c r="S16" s="205">
        <f>33570-671</f>
        <v>32899</v>
      </c>
      <c r="T16" s="205">
        <v>18.475</v>
      </c>
      <c r="U16" s="417">
        <f aca="true" t="shared" si="2" ref="U16:U26">M16*S16/T16</f>
        <v>32899</v>
      </c>
      <c r="V16" s="418"/>
      <c r="W16" s="205">
        <f>11086-1100</f>
        <v>9986</v>
      </c>
      <c r="X16" s="415">
        <v>16.46</v>
      </c>
      <c r="Y16" s="419">
        <f>N16*W16/X16</f>
        <v>9985.999999999998</v>
      </c>
    </row>
    <row r="17" spans="1:25" s="421" customFormat="1" ht="21" customHeight="1">
      <c r="A17" s="115">
        <v>1</v>
      </c>
      <c r="B17" s="116" t="s">
        <v>36</v>
      </c>
      <c r="C17" s="128">
        <v>65.59</v>
      </c>
      <c r="D17" s="118">
        <v>0.7</v>
      </c>
      <c r="E17" s="140">
        <f>5655+535</f>
        <v>6190</v>
      </c>
      <c r="F17" s="141">
        <v>0.6000000000000001</v>
      </c>
      <c r="G17" s="121" t="s">
        <v>80</v>
      </c>
      <c r="H17" s="142">
        <v>1</v>
      </c>
      <c r="I17" s="123">
        <v>11</v>
      </c>
      <c r="J17" s="142">
        <v>1.15</v>
      </c>
      <c r="K17" s="142">
        <v>31</v>
      </c>
      <c r="L17" s="142">
        <v>1.6</v>
      </c>
      <c r="M17" s="142">
        <f>(D17+F17)*(0.12*H17*2.5+J17)</f>
        <v>1.885</v>
      </c>
      <c r="N17" s="142">
        <f>L17*(0.12*H17*3+J17)</f>
        <v>2.416</v>
      </c>
      <c r="O17" s="125">
        <f>P17+Q17</f>
        <v>4822</v>
      </c>
      <c r="P17" s="159">
        <v>3356</v>
      </c>
      <c r="Q17" s="159">
        <v>1466</v>
      </c>
      <c r="R17" s="160">
        <f>D17+F17+H17+J17</f>
        <v>3.4499999999999997</v>
      </c>
      <c r="S17" s="205">
        <f aca="true" t="shared" si="3" ref="S17:S26">33570-671</f>
        <v>32899</v>
      </c>
      <c r="T17" s="205">
        <v>18.475</v>
      </c>
      <c r="U17" s="417">
        <f t="shared" si="2"/>
        <v>3356.6774018944516</v>
      </c>
      <c r="V17" s="418"/>
      <c r="W17" s="205">
        <f aca="true" t="shared" si="4" ref="W17:W26">11086-1100</f>
        <v>9986</v>
      </c>
      <c r="X17" s="415">
        <v>16.46</v>
      </c>
      <c r="Y17" s="420">
        <f aca="true" t="shared" si="5" ref="Y17:Y26">N17*W17/X17</f>
        <v>1465.745808019441</v>
      </c>
    </row>
    <row r="18" spans="1:25" s="421" customFormat="1" ht="21" customHeight="1">
      <c r="A18" s="115">
        <v>2</v>
      </c>
      <c r="B18" s="116" t="s">
        <v>37</v>
      </c>
      <c r="C18" s="128">
        <v>64.65</v>
      </c>
      <c r="D18" s="118">
        <v>0.7</v>
      </c>
      <c r="E18" s="140">
        <f>5259+986</f>
        <v>6245</v>
      </c>
      <c r="F18" s="141">
        <v>0.6000000000000001</v>
      </c>
      <c r="G18" s="121" t="s">
        <v>80</v>
      </c>
      <c r="H18" s="142">
        <v>1</v>
      </c>
      <c r="I18" s="123">
        <v>12</v>
      </c>
      <c r="J18" s="142">
        <v>1.15</v>
      </c>
      <c r="K18" s="142">
        <v>24</v>
      </c>
      <c r="L18" s="142">
        <v>1.2</v>
      </c>
      <c r="M18" s="142">
        <f>(D18+F18)*(0.12*H18*2.5+J18)</f>
        <v>1.885</v>
      </c>
      <c r="N18" s="142">
        <f>L18*(0.12*H18*3+J18)</f>
        <v>1.8119999999999996</v>
      </c>
      <c r="O18" s="125">
        <f aca="true" t="shared" si="6" ref="O18:O26">P18+Q18</f>
        <v>4455</v>
      </c>
      <c r="P18" s="159">
        <v>3356</v>
      </c>
      <c r="Q18" s="159">
        <v>1099</v>
      </c>
      <c r="R18" s="160">
        <f aca="true" t="shared" si="7" ref="R18:R26">D18+F18+H18+J18</f>
        <v>3.4499999999999997</v>
      </c>
      <c r="S18" s="205">
        <f t="shared" si="3"/>
        <v>32899</v>
      </c>
      <c r="T18" s="205">
        <v>18.475</v>
      </c>
      <c r="U18" s="417">
        <f t="shared" si="2"/>
        <v>3356.6774018944516</v>
      </c>
      <c r="V18" s="418"/>
      <c r="W18" s="205">
        <f t="shared" si="4"/>
        <v>9986</v>
      </c>
      <c r="X18" s="415">
        <v>16.46</v>
      </c>
      <c r="Y18" s="420">
        <f t="shared" si="5"/>
        <v>1099.3093560145805</v>
      </c>
    </row>
    <row r="19" spans="1:25" s="421" customFormat="1" ht="21" customHeight="1">
      <c r="A19" s="115">
        <v>3</v>
      </c>
      <c r="B19" s="116" t="s">
        <v>38</v>
      </c>
      <c r="C19" s="128">
        <v>61.8</v>
      </c>
      <c r="D19" s="118">
        <v>0.7</v>
      </c>
      <c r="E19" s="140">
        <f>5475+1841</f>
        <v>7316</v>
      </c>
      <c r="F19" s="141">
        <v>0.7</v>
      </c>
      <c r="G19" s="121" t="s">
        <v>80</v>
      </c>
      <c r="H19" s="142">
        <v>1</v>
      </c>
      <c r="I19" s="123">
        <v>12</v>
      </c>
      <c r="J19" s="142">
        <v>1.15</v>
      </c>
      <c r="K19" s="142">
        <v>24</v>
      </c>
      <c r="L19" s="142">
        <v>1.2</v>
      </c>
      <c r="M19" s="142">
        <f aca="true" t="shared" si="8" ref="M19:M26">(D19+F19)*(0.12*H19*2.5+J19)</f>
        <v>2.03</v>
      </c>
      <c r="N19" s="142">
        <f aca="true" t="shared" si="9" ref="N19:N26">L19*(0.12*H19*3+J19)</f>
        <v>1.8119999999999996</v>
      </c>
      <c r="O19" s="125">
        <f t="shared" si="6"/>
        <v>4715</v>
      </c>
      <c r="P19" s="159">
        <v>3616</v>
      </c>
      <c r="Q19" s="159">
        <v>1099</v>
      </c>
      <c r="R19" s="160">
        <f t="shared" si="7"/>
        <v>3.55</v>
      </c>
      <c r="S19" s="205">
        <f t="shared" si="3"/>
        <v>32899</v>
      </c>
      <c r="T19" s="205">
        <v>18.475</v>
      </c>
      <c r="U19" s="417">
        <f t="shared" si="2"/>
        <v>3614.883355886332</v>
      </c>
      <c r="V19" s="418"/>
      <c r="W19" s="205">
        <f t="shared" si="4"/>
        <v>9986</v>
      </c>
      <c r="X19" s="415">
        <v>16.46</v>
      </c>
      <c r="Y19" s="420">
        <f t="shared" si="5"/>
        <v>1099.3093560145805</v>
      </c>
    </row>
    <row r="20" spans="1:25" s="421" customFormat="1" ht="21" customHeight="1">
      <c r="A20" s="115">
        <v>4</v>
      </c>
      <c r="B20" s="116" t="s">
        <v>39</v>
      </c>
      <c r="C20" s="128">
        <v>57.63</v>
      </c>
      <c r="D20" s="118">
        <v>0.6000000000000001</v>
      </c>
      <c r="E20" s="140">
        <f>9485+1509</f>
        <v>10994</v>
      </c>
      <c r="F20" s="141">
        <v>0.9</v>
      </c>
      <c r="G20" s="121" t="s">
        <v>80</v>
      </c>
      <c r="H20" s="142">
        <v>1</v>
      </c>
      <c r="I20" s="123">
        <v>19</v>
      </c>
      <c r="J20" s="142">
        <v>1.5</v>
      </c>
      <c r="K20" s="142">
        <v>31</v>
      </c>
      <c r="L20" s="142">
        <v>1.6</v>
      </c>
      <c r="M20" s="142">
        <f t="shared" si="8"/>
        <v>2.7</v>
      </c>
      <c r="N20" s="142">
        <f t="shared" si="9"/>
        <v>2.976</v>
      </c>
      <c r="O20" s="125">
        <f t="shared" si="6"/>
        <v>6613</v>
      </c>
      <c r="P20" s="159">
        <v>4808</v>
      </c>
      <c r="Q20" s="159">
        <v>1805</v>
      </c>
      <c r="R20" s="160">
        <f t="shared" si="7"/>
        <v>4</v>
      </c>
      <c r="S20" s="205">
        <f t="shared" si="3"/>
        <v>32899</v>
      </c>
      <c r="T20" s="205">
        <v>18.475</v>
      </c>
      <c r="U20" s="417">
        <f t="shared" si="2"/>
        <v>4807.972936400541</v>
      </c>
      <c r="V20" s="418"/>
      <c r="W20" s="205">
        <f t="shared" si="4"/>
        <v>9986</v>
      </c>
      <c r="X20" s="415">
        <v>16.46</v>
      </c>
      <c r="Y20" s="420">
        <f t="shared" si="5"/>
        <v>1805.4882138517617</v>
      </c>
    </row>
    <row r="21" spans="1:25" s="421" customFormat="1" ht="29.25" customHeight="1">
      <c r="A21" s="115">
        <v>5</v>
      </c>
      <c r="B21" s="116" t="s">
        <v>40</v>
      </c>
      <c r="C21" s="128">
        <v>58.62</v>
      </c>
      <c r="D21" s="118">
        <v>0.6000000000000001</v>
      </c>
      <c r="E21" s="140">
        <f>7274+741</f>
        <v>8015</v>
      </c>
      <c r="F21" s="141">
        <v>0.8</v>
      </c>
      <c r="G21" s="121" t="s">
        <v>80</v>
      </c>
      <c r="H21" s="142">
        <v>1</v>
      </c>
      <c r="I21" s="123">
        <v>14</v>
      </c>
      <c r="J21" s="142">
        <v>1.3</v>
      </c>
      <c r="K21" s="142">
        <v>33</v>
      </c>
      <c r="L21" s="142">
        <v>1.6</v>
      </c>
      <c r="M21" s="142">
        <f t="shared" si="8"/>
        <v>2.24</v>
      </c>
      <c r="N21" s="142">
        <f t="shared" si="9"/>
        <v>2.6560000000000006</v>
      </c>
      <c r="O21" s="125">
        <f t="shared" si="6"/>
        <v>5601</v>
      </c>
      <c r="P21" s="159">
        <v>3988</v>
      </c>
      <c r="Q21" s="159">
        <v>1613</v>
      </c>
      <c r="R21" s="160">
        <f t="shared" si="7"/>
        <v>3.7</v>
      </c>
      <c r="S21" s="205">
        <f t="shared" si="3"/>
        <v>32899</v>
      </c>
      <c r="T21" s="205">
        <v>18.475</v>
      </c>
      <c r="U21" s="417">
        <f t="shared" si="2"/>
        <v>3988.836806495264</v>
      </c>
      <c r="V21" s="418"/>
      <c r="W21" s="205">
        <f t="shared" si="4"/>
        <v>9986</v>
      </c>
      <c r="X21" s="415">
        <v>16.46</v>
      </c>
      <c r="Y21" s="420">
        <f t="shared" si="5"/>
        <v>1611.3496962332931</v>
      </c>
    </row>
    <row r="22" spans="1:25" ht="21" customHeight="1">
      <c r="A22" s="115">
        <v>6</v>
      </c>
      <c r="B22" s="116" t="s">
        <v>41</v>
      </c>
      <c r="C22" s="128">
        <v>50.11</v>
      </c>
      <c r="D22" s="118">
        <v>0.6000000000000001</v>
      </c>
      <c r="E22" s="140">
        <f>4243+1343</f>
        <v>5586</v>
      </c>
      <c r="F22" s="118">
        <v>0.5</v>
      </c>
      <c r="G22" s="121" t="s">
        <v>80</v>
      </c>
      <c r="H22" s="142">
        <v>1</v>
      </c>
      <c r="I22" s="117">
        <v>10</v>
      </c>
      <c r="J22" s="128">
        <v>1.15</v>
      </c>
      <c r="K22" s="128">
        <v>22</v>
      </c>
      <c r="L22" s="128">
        <v>1.2</v>
      </c>
      <c r="M22" s="142">
        <f t="shared" si="8"/>
        <v>1.595</v>
      </c>
      <c r="N22" s="142">
        <f t="shared" si="9"/>
        <v>1.8119999999999996</v>
      </c>
      <c r="O22" s="125">
        <f t="shared" si="6"/>
        <v>3939</v>
      </c>
      <c r="P22" s="159">
        <v>2840</v>
      </c>
      <c r="Q22" s="159">
        <v>1099</v>
      </c>
      <c r="R22" s="160">
        <f t="shared" si="7"/>
        <v>3.25</v>
      </c>
      <c r="S22" s="113">
        <f t="shared" si="3"/>
        <v>32899</v>
      </c>
      <c r="T22" s="205">
        <v>18.475</v>
      </c>
      <c r="U22" s="192">
        <f t="shared" si="2"/>
        <v>2840.2654939106897</v>
      </c>
      <c r="V22" s="197"/>
      <c r="W22" s="113">
        <f t="shared" si="4"/>
        <v>9986</v>
      </c>
      <c r="X22" s="98">
        <v>16.46</v>
      </c>
      <c r="Y22" s="199">
        <f t="shared" si="5"/>
        <v>1099.3093560145805</v>
      </c>
    </row>
    <row r="23" spans="1:25" ht="21" customHeight="1">
      <c r="A23" s="115">
        <v>7</v>
      </c>
      <c r="B23" s="116" t="s">
        <v>42</v>
      </c>
      <c r="C23" s="128">
        <v>60.17</v>
      </c>
      <c r="D23" s="118">
        <v>0.7</v>
      </c>
      <c r="E23" s="140">
        <f>6221+559</f>
        <v>6780</v>
      </c>
      <c r="F23" s="141">
        <v>0.7</v>
      </c>
      <c r="G23" s="121" t="s">
        <v>80</v>
      </c>
      <c r="H23" s="142">
        <v>1</v>
      </c>
      <c r="I23" s="123">
        <v>15</v>
      </c>
      <c r="J23" s="142">
        <v>1.5</v>
      </c>
      <c r="K23" s="142">
        <v>35</v>
      </c>
      <c r="L23" s="142">
        <v>1.6</v>
      </c>
      <c r="M23" s="142">
        <f t="shared" si="8"/>
        <v>2.52</v>
      </c>
      <c r="N23" s="142">
        <f t="shared" si="9"/>
        <v>2.976</v>
      </c>
      <c r="O23" s="125">
        <f t="shared" si="6"/>
        <v>6292</v>
      </c>
      <c r="P23" s="159">
        <v>4487</v>
      </c>
      <c r="Q23" s="159">
        <v>1805</v>
      </c>
      <c r="R23" s="160">
        <f t="shared" si="7"/>
        <v>3.9</v>
      </c>
      <c r="S23" s="113">
        <f t="shared" si="3"/>
        <v>32899</v>
      </c>
      <c r="T23" s="205">
        <v>18.475</v>
      </c>
      <c r="U23" s="192">
        <f t="shared" si="2"/>
        <v>4487.441407307171</v>
      </c>
      <c r="V23" s="197"/>
      <c r="W23" s="113">
        <f t="shared" si="4"/>
        <v>9986</v>
      </c>
      <c r="X23" s="98">
        <v>16.46</v>
      </c>
      <c r="Y23" s="199">
        <f t="shared" si="5"/>
        <v>1805.4882138517617</v>
      </c>
    </row>
    <row r="24" spans="1:25" ht="21" customHeight="1">
      <c r="A24" s="115">
        <v>8</v>
      </c>
      <c r="B24" s="116" t="s">
        <v>43</v>
      </c>
      <c r="C24" s="128">
        <f>11.9+9.65</f>
        <v>21.55</v>
      </c>
      <c r="D24" s="118">
        <v>0.5</v>
      </c>
      <c r="E24" s="140">
        <f>2997+2429</f>
        <v>5426</v>
      </c>
      <c r="F24" s="141">
        <v>0.45</v>
      </c>
      <c r="G24" s="121"/>
      <c r="H24" s="142"/>
      <c r="I24" s="123">
        <v>21</v>
      </c>
      <c r="J24" s="142">
        <v>2</v>
      </c>
      <c r="K24" s="142">
        <v>18</v>
      </c>
      <c r="L24" s="142"/>
      <c r="M24" s="142">
        <f t="shared" si="8"/>
        <v>1.9</v>
      </c>
      <c r="N24" s="142">
        <f>L24*(0.12*H24*3+J24)</f>
        <v>0</v>
      </c>
      <c r="O24" s="125">
        <f t="shared" si="6"/>
        <v>3385</v>
      </c>
      <c r="P24" s="159">
        <v>3385</v>
      </c>
      <c r="Q24" s="159"/>
      <c r="R24" s="160">
        <f t="shared" si="7"/>
        <v>2.95</v>
      </c>
      <c r="S24" s="113">
        <f t="shared" si="3"/>
        <v>32899</v>
      </c>
      <c r="T24" s="205">
        <v>18.475</v>
      </c>
      <c r="U24" s="192">
        <f t="shared" si="2"/>
        <v>3383.3883626522324</v>
      </c>
      <c r="V24" s="197"/>
      <c r="W24" s="113">
        <f t="shared" si="4"/>
        <v>9986</v>
      </c>
      <c r="X24" s="98">
        <v>16.46</v>
      </c>
      <c r="Y24" s="158">
        <f t="shared" si="5"/>
        <v>0</v>
      </c>
    </row>
    <row r="25" spans="1:25" ht="21" customHeight="1">
      <c r="A25" s="115">
        <v>9</v>
      </c>
      <c r="B25" s="116" t="s">
        <v>44</v>
      </c>
      <c r="C25" s="128">
        <f>8.06+1.17</f>
        <v>9.23</v>
      </c>
      <c r="D25" s="118">
        <v>0.4</v>
      </c>
      <c r="E25" s="140">
        <f>249+36</f>
        <v>285</v>
      </c>
      <c r="F25" s="141">
        <v>0.4</v>
      </c>
      <c r="G25" s="121"/>
      <c r="H25" s="122"/>
      <c r="I25" s="123">
        <v>3</v>
      </c>
      <c r="J25" s="122">
        <v>1</v>
      </c>
      <c r="K25" s="122">
        <v>11</v>
      </c>
      <c r="L25" s="122"/>
      <c r="M25" s="142">
        <f t="shared" si="8"/>
        <v>0.8</v>
      </c>
      <c r="N25" s="142">
        <f t="shared" si="9"/>
        <v>0</v>
      </c>
      <c r="O25" s="125">
        <f t="shared" si="6"/>
        <v>1425</v>
      </c>
      <c r="P25" s="161">
        <v>1425</v>
      </c>
      <c r="Q25" s="161"/>
      <c r="R25" s="160">
        <f t="shared" si="7"/>
        <v>1.8</v>
      </c>
      <c r="S25" s="113">
        <f t="shared" si="3"/>
        <v>32899</v>
      </c>
      <c r="T25" s="205">
        <v>18.475</v>
      </c>
      <c r="U25" s="192">
        <f t="shared" si="2"/>
        <v>1424.5845737483085</v>
      </c>
      <c r="V25" s="197"/>
      <c r="W25" s="113">
        <f t="shared" si="4"/>
        <v>9986</v>
      </c>
      <c r="X25" s="98">
        <v>16.46</v>
      </c>
      <c r="Y25" s="158">
        <f t="shared" si="5"/>
        <v>0</v>
      </c>
    </row>
    <row r="26" spans="1:25" s="138" customFormat="1" ht="21" customHeight="1">
      <c r="A26" s="115">
        <v>10</v>
      </c>
      <c r="B26" s="116" t="s">
        <v>45</v>
      </c>
      <c r="C26" s="128">
        <f>1.79+1.73</f>
        <v>3.52</v>
      </c>
      <c r="D26" s="118">
        <v>0.4</v>
      </c>
      <c r="E26" s="140">
        <f>375+364</f>
        <v>739</v>
      </c>
      <c r="F26" s="141">
        <v>0.4</v>
      </c>
      <c r="G26" s="162"/>
      <c r="H26" s="163"/>
      <c r="I26" s="123">
        <v>12</v>
      </c>
      <c r="J26" s="122">
        <v>1.15</v>
      </c>
      <c r="K26" s="122">
        <v>11</v>
      </c>
      <c r="L26" s="122"/>
      <c r="M26" s="142">
        <f t="shared" si="8"/>
        <v>0.9199999999999999</v>
      </c>
      <c r="N26" s="142">
        <f t="shared" si="9"/>
        <v>0</v>
      </c>
      <c r="O26" s="125">
        <f t="shared" si="6"/>
        <v>1638</v>
      </c>
      <c r="P26" s="161">
        <v>1638</v>
      </c>
      <c r="Q26" s="161"/>
      <c r="R26" s="160">
        <f t="shared" si="7"/>
        <v>1.95</v>
      </c>
      <c r="S26" s="113">
        <f t="shared" si="3"/>
        <v>32899</v>
      </c>
      <c r="T26" s="205">
        <v>18.475</v>
      </c>
      <c r="U26" s="192">
        <f t="shared" si="2"/>
        <v>1638.2722598105545</v>
      </c>
      <c r="V26" s="197"/>
      <c r="W26" s="113">
        <f t="shared" si="4"/>
        <v>9986</v>
      </c>
      <c r="X26" s="98">
        <v>16.46</v>
      </c>
      <c r="Y26" s="158">
        <f t="shared" si="5"/>
        <v>0</v>
      </c>
    </row>
    <row r="27" spans="1:22" s="138" customFormat="1" ht="21.75" customHeight="1">
      <c r="A27" s="129"/>
      <c r="B27" s="130"/>
      <c r="C27" s="131"/>
      <c r="D27" s="132"/>
      <c r="E27" s="133"/>
      <c r="F27" s="134"/>
      <c r="G27" s="132"/>
      <c r="H27" s="135"/>
      <c r="I27" s="136"/>
      <c r="J27" s="135"/>
      <c r="K27" s="135"/>
      <c r="L27" s="135"/>
      <c r="M27" s="135"/>
      <c r="N27" s="135"/>
      <c r="O27" s="136"/>
      <c r="P27" s="137"/>
      <c r="Q27" s="137"/>
      <c r="R27" s="137"/>
      <c r="T27" s="207"/>
      <c r="U27" s="167"/>
      <c r="V27" s="198"/>
    </row>
    <row r="28" spans="1:18" ht="46.5" customHeight="1">
      <c r="A28" s="619" t="s">
        <v>87</v>
      </c>
      <c r="B28" s="619"/>
      <c r="C28" s="619"/>
      <c r="D28" s="619"/>
      <c r="E28" s="619"/>
      <c r="F28" s="619"/>
      <c r="G28" s="619"/>
      <c r="H28" s="619"/>
      <c r="I28" s="619"/>
      <c r="J28" s="619"/>
      <c r="K28" s="619"/>
      <c r="L28" s="619"/>
      <c r="M28" s="619"/>
      <c r="N28" s="619"/>
      <c r="O28" s="619"/>
      <c r="P28" s="619"/>
      <c r="Q28" s="619"/>
      <c r="R28" s="619"/>
    </row>
    <row r="29" spans="1:18" s="97" customFormat="1" ht="37.5" customHeight="1">
      <c r="A29" s="602" t="s">
        <v>88</v>
      </c>
      <c r="B29" s="602"/>
      <c r="C29" s="602"/>
      <c r="D29" s="602"/>
      <c r="E29" s="602"/>
      <c r="F29" s="602"/>
      <c r="G29" s="602"/>
      <c r="H29" s="602"/>
      <c r="I29" s="602"/>
      <c r="J29" s="602"/>
      <c r="K29" s="602"/>
      <c r="L29" s="602"/>
      <c r="M29" s="602"/>
      <c r="N29" s="602"/>
      <c r="O29" s="602"/>
      <c r="P29" s="602"/>
      <c r="Q29" s="602"/>
      <c r="R29" s="602"/>
    </row>
    <row r="30" spans="1:18" s="97" customFormat="1" ht="23.25" customHeight="1">
      <c r="A30" s="602"/>
      <c r="B30" s="602"/>
      <c r="C30" s="602"/>
      <c r="D30" s="602"/>
      <c r="E30" s="602"/>
      <c r="F30" s="602"/>
      <c r="G30" s="602"/>
      <c r="H30" s="602"/>
      <c r="I30" s="602"/>
      <c r="J30" s="602"/>
      <c r="K30" s="602"/>
      <c r="L30" s="602"/>
      <c r="M30" s="602"/>
      <c r="N30" s="602"/>
      <c r="O30" s="602"/>
      <c r="P30" s="602"/>
      <c r="Q30" s="190"/>
      <c r="R30" s="164"/>
    </row>
    <row r="31" spans="1:18" ht="30.75" customHeight="1">
      <c r="A31" s="612"/>
      <c r="B31" s="612"/>
      <c r="C31" s="612"/>
      <c r="D31" s="612"/>
      <c r="E31" s="612"/>
      <c r="F31" s="612"/>
      <c r="G31" s="612"/>
      <c r="H31" s="612"/>
      <c r="I31" s="612"/>
      <c r="J31" s="612"/>
      <c r="K31" s="612"/>
      <c r="L31" s="612"/>
      <c r="M31" s="612"/>
      <c r="N31" s="612"/>
      <c r="O31" s="612"/>
      <c r="P31" s="612"/>
      <c r="Q31" s="191"/>
      <c r="R31" s="165"/>
    </row>
  </sheetData>
  <sheetProtection selectLockedCells="1" selectUnlockedCells="1"/>
  <mergeCells count="36">
    <mergeCell ref="S8:U8"/>
    <mergeCell ref="W8:Y8"/>
    <mergeCell ref="O6:Q6"/>
    <mergeCell ref="C6:N6"/>
    <mergeCell ref="N7:N9"/>
    <mergeCell ref="K7:L7"/>
    <mergeCell ref="K8:K9"/>
    <mergeCell ref="L8:L9"/>
    <mergeCell ref="P7:Q7"/>
    <mergeCell ref="Q8:Q9"/>
    <mergeCell ref="P1:R1"/>
    <mergeCell ref="A2:R2"/>
    <mergeCell ref="A3:R3"/>
    <mergeCell ref="A4:R4"/>
    <mergeCell ref="A6:A9"/>
    <mergeCell ref="B6:B9"/>
    <mergeCell ref="R6:R9"/>
    <mergeCell ref="C7:D7"/>
    <mergeCell ref="E7:F7"/>
    <mergeCell ref="G7:H7"/>
    <mergeCell ref="I7:J7"/>
    <mergeCell ref="M7:M9"/>
    <mergeCell ref="O7:O9"/>
    <mergeCell ref="C8:C9"/>
    <mergeCell ref="D8:D9"/>
    <mergeCell ref="E8:E9"/>
    <mergeCell ref="F8:F9"/>
    <mergeCell ref="G8:G9"/>
    <mergeCell ref="A30:P30"/>
    <mergeCell ref="A31:P31"/>
    <mergeCell ref="H8:H9"/>
    <mergeCell ref="I8:I9"/>
    <mergeCell ref="J8:J9"/>
    <mergeCell ref="P8:P9"/>
    <mergeCell ref="A28:R28"/>
    <mergeCell ref="A29:R29"/>
  </mergeCells>
  <printOptions horizontalCentered="1"/>
  <pageMargins left="0" right="0" top="0.590277777777778" bottom="0.590277777777778" header="0.511805555555556" footer="0.511805555555556"/>
  <pageSetup horizontalDpi="300" verticalDpi="300" orientation="landscape" paperSize="9" scale="85" r:id="rId1"/>
</worksheet>
</file>

<file path=xl/worksheets/sheet9.xml><?xml version="1.0" encoding="utf-8"?>
<worksheet xmlns="http://schemas.openxmlformats.org/spreadsheetml/2006/main" xmlns:r="http://schemas.openxmlformats.org/officeDocument/2006/relationships">
  <sheetPr>
    <tabColor rgb="FF00B050"/>
  </sheetPr>
  <dimension ref="A1:AN32"/>
  <sheetViews>
    <sheetView zoomScale="85" zoomScaleNormal="85" zoomScalePageLayoutView="0" workbookViewId="0" topLeftCell="A9">
      <selection activeCell="E24" sqref="E24"/>
    </sheetView>
  </sheetViews>
  <sheetFormatPr defaultColWidth="9.00390625" defaultRowHeight="12.75"/>
  <cols>
    <col min="1" max="1" width="4.28125" style="268" customWidth="1"/>
    <col min="2" max="2" width="19.28125" style="280" customWidth="1"/>
    <col min="3" max="3" width="7.28125" style="268" customWidth="1"/>
    <col min="4" max="4" width="7.140625" style="268" customWidth="1"/>
    <col min="5" max="5" width="9.140625" style="268" customWidth="1"/>
    <col min="6" max="6" width="6.8515625" style="268" customWidth="1"/>
    <col min="7" max="7" width="5.421875" style="268" customWidth="1"/>
    <col min="8" max="8" width="6.7109375" style="268" customWidth="1"/>
    <col min="9" max="9" width="6.8515625" style="268" customWidth="1"/>
    <col min="10" max="10" width="8.140625" style="268" customWidth="1"/>
    <col min="11" max="11" width="6.140625" style="268" customWidth="1"/>
    <col min="12" max="12" width="7.00390625" style="268" customWidth="1"/>
    <col min="13" max="13" width="6.8515625" style="268" customWidth="1"/>
    <col min="14" max="14" width="6.28125" style="268" customWidth="1"/>
    <col min="15" max="15" width="8.7109375" style="268" customWidth="1"/>
    <col min="16" max="16" width="7.57421875" style="268" customWidth="1"/>
    <col min="17" max="17" width="7.8515625" style="268" customWidth="1"/>
    <col min="18" max="18" width="8.8515625" style="268" customWidth="1"/>
    <col min="19" max="19" width="7.00390625" style="268" customWidth="1"/>
    <col min="20" max="20" width="8.140625" style="268" customWidth="1"/>
    <col min="21" max="21" width="8.8515625" style="268" customWidth="1"/>
    <col min="22" max="22" width="8.28125" style="268" customWidth="1"/>
    <col min="23" max="23" width="9.421875" style="268" customWidth="1"/>
    <col min="24" max="24" width="7.421875" style="268" customWidth="1"/>
    <col min="25" max="25" width="9.28125" style="268" customWidth="1"/>
    <col min="26" max="26" width="6.8515625" style="268" customWidth="1"/>
    <col min="27" max="27" width="4.28125" style="268" customWidth="1"/>
    <col min="28" max="28" width="6.140625" style="268" customWidth="1"/>
    <col min="29" max="31" width="10.421875" style="268" hidden="1" customWidth="1"/>
    <col min="32" max="34" width="13.140625" style="268" hidden="1" customWidth="1"/>
    <col min="35" max="35" width="7.57421875" style="268" hidden="1" customWidth="1"/>
    <col min="36" max="36" width="10.421875" style="268" hidden="1" customWidth="1"/>
    <col min="37" max="37" width="11.28125" style="268" hidden="1" customWidth="1"/>
    <col min="38" max="39" width="9.8515625" style="268" hidden="1" customWidth="1"/>
    <col min="40" max="40" width="10.8515625" style="268" hidden="1" customWidth="1"/>
    <col min="41" max="42" width="13.140625" style="268" customWidth="1"/>
    <col min="43" max="16384" width="9.00390625" style="268" customWidth="1"/>
  </cols>
  <sheetData>
    <row r="1" spans="25:27" ht="21.75" customHeight="1">
      <c r="Y1" s="629" t="s">
        <v>89</v>
      </c>
      <c r="Z1" s="629"/>
      <c r="AA1" s="629"/>
    </row>
    <row r="2" spans="1:27" s="281" customFormat="1" ht="21.75" customHeight="1">
      <c r="A2" s="630" t="s">
        <v>147</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row>
    <row r="3" spans="1:27" s="281" customFormat="1" ht="21.75" customHeight="1">
      <c r="A3" s="630" t="s">
        <v>3</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row>
    <row r="4" spans="1:27" s="281" customFormat="1" ht="24" customHeight="1">
      <c r="A4" s="631" t="str">
        <f>'DA2'!A4:M4</f>
        <v>(Kèm theo Văn bản số        /SLĐTBXH-BTXH ngày     tháng 11 năm 2022 của Sở Lao động - Thương binh và Xã hội)</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row>
    <row r="5" ht="11.25" customHeight="1"/>
    <row r="6" spans="1:29" s="283" customFormat="1" ht="26.25" customHeight="1">
      <c r="A6" s="632" t="s">
        <v>47</v>
      </c>
      <c r="B6" s="632" t="s">
        <v>48</v>
      </c>
      <c r="C6" s="633" t="s">
        <v>49</v>
      </c>
      <c r="D6" s="634"/>
      <c r="E6" s="634"/>
      <c r="F6" s="634"/>
      <c r="G6" s="634"/>
      <c r="H6" s="634"/>
      <c r="I6" s="634"/>
      <c r="J6" s="634"/>
      <c r="K6" s="634"/>
      <c r="L6" s="634"/>
      <c r="M6" s="634"/>
      <c r="N6" s="634"/>
      <c r="O6" s="634"/>
      <c r="P6" s="634"/>
      <c r="Q6" s="634"/>
      <c r="R6" s="634"/>
      <c r="S6" s="634"/>
      <c r="T6" s="635"/>
      <c r="U6" s="636" t="s">
        <v>83</v>
      </c>
      <c r="V6" s="636"/>
      <c r="W6" s="636"/>
      <c r="X6" s="636"/>
      <c r="Y6" s="636"/>
      <c r="Z6" s="636"/>
      <c r="AA6" s="637" t="s">
        <v>6</v>
      </c>
      <c r="AB6" s="282"/>
      <c r="AC6" s="282"/>
    </row>
    <row r="7" spans="1:29" s="285" customFormat="1" ht="58.5" customHeight="1">
      <c r="A7" s="632"/>
      <c r="B7" s="632"/>
      <c r="C7" s="640" t="s">
        <v>69</v>
      </c>
      <c r="D7" s="640"/>
      <c r="E7" s="640" t="s">
        <v>70</v>
      </c>
      <c r="F7" s="640"/>
      <c r="G7" s="642" t="s">
        <v>71</v>
      </c>
      <c r="H7" s="643"/>
      <c r="I7" s="642" t="s">
        <v>54</v>
      </c>
      <c r="J7" s="643"/>
      <c r="K7" s="640" t="s">
        <v>90</v>
      </c>
      <c r="L7" s="640"/>
      <c r="M7" s="640" t="s">
        <v>91</v>
      </c>
      <c r="N7" s="640"/>
      <c r="O7" s="642" t="s">
        <v>92</v>
      </c>
      <c r="P7" s="643"/>
      <c r="Q7" s="640" t="s">
        <v>93</v>
      </c>
      <c r="R7" s="640"/>
      <c r="S7" s="644" t="s">
        <v>94</v>
      </c>
      <c r="T7" s="644" t="s">
        <v>95</v>
      </c>
      <c r="U7" s="640" t="s">
        <v>7</v>
      </c>
      <c r="V7" s="640" t="s">
        <v>10</v>
      </c>
      <c r="W7" s="640"/>
      <c r="X7" s="640"/>
      <c r="Y7" s="641" t="s">
        <v>11</v>
      </c>
      <c r="Z7" s="641" t="s">
        <v>12</v>
      </c>
      <c r="AA7" s="638"/>
      <c r="AB7" s="284"/>
      <c r="AC7" s="284"/>
    </row>
    <row r="8" spans="1:27" s="285" customFormat="1" ht="18.75" customHeight="1">
      <c r="A8" s="632"/>
      <c r="B8" s="632"/>
      <c r="C8" s="640" t="s">
        <v>96</v>
      </c>
      <c r="D8" s="640" t="s">
        <v>57</v>
      </c>
      <c r="E8" s="640" t="s">
        <v>74</v>
      </c>
      <c r="F8" s="640" t="s">
        <v>57</v>
      </c>
      <c r="G8" s="644" t="s">
        <v>59</v>
      </c>
      <c r="H8" s="644" t="s">
        <v>57</v>
      </c>
      <c r="I8" s="286"/>
      <c r="J8" s="286"/>
      <c r="K8" s="640" t="s">
        <v>97</v>
      </c>
      <c r="L8" s="640" t="s">
        <v>57</v>
      </c>
      <c r="M8" s="640" t="s">
        <v>98</v>
      </c>
      <c r="N8" s="640" t="s">
        <v>57</v>
      </c>
      <c r="O8" s="644" t="s">
        <v>99</v>
      </c>
      <c r="P8" s="644" t="s">
        <v>57</v>
      </c>
      <c r="Q8" s="640" t="s">
        <v>15</v>
      </c>
      <c r="R8" s="640" t="s">
        <v>16</v>
      </c>
      <c r="S8" s="645"/>
      <c r="T8" s="645"/>
      <c r="U8" s="640"/>
      <c r="V8" s="640" t="s">
        <v>7</v>
      </c>
      <c r="W8" s="640" t="s">
        <v>15</v>
      </c>
      <c r="X8" s="640" t="s">
        <v>16</v>
      </c>
      <c r="Y8" s="641"/>
      <c r="Z8" s="641"/>
      <c r="AA8" s="638"/>
    </row>
    <row r="9" spans="1:40" s="285" customFormat="1" ht="78" customHeight="1">
      <c r="A9" s="632"/>
      <c r="B9" s="632"/>
      <c r="C9" s="640"/>
      <c r="D9" s="640"/>
      <c r="E9" s="640"/>
      <c r="F9" s="640"/>
      <c r="G9" s="646"/>
      <c r="H9" s="646"/>
      <c r="I9" s="287" t="s">
        <v>60</v>
      </c>
      <c r="J9" s="287" t="s">
        <v>57</v>
      </c>
      <c r="K9" s="640"/>
      <c r="L9" s="640"/>
      <c r="M9" s="640"/>
      <c r="N9" s="640"/>
      <c r="O9" s="646"/>
      <c r="P9" s="646"/>
      <c r="Q9" s="640"/>
      <c r="R9" s="640"/>
      <c r="S9" s="646"/>
      <c r="T9" s="646"/>
      <c r="U9" s="640"/>
      <c r="V9" s="640"/>
      <c r="W9" s="640"/>
      <c r="X9" s="640"/>
      <c r="Y9" s="641"/>
      <c r="Z9" s="641"/>
      <c r="AA9" s="639"/>
      <c r="AC9" s="648" t="s">
        <v>140</v>
      </c>
      <c r="AD9" s="648"/>
      <c r="AE9" s="648"/>
      <c r="AF9" s="648"/>
      <c r="AG9" s="648"/>
      <c r="AH9" s="648"/>
      <c r="AI9" s="648" t="s">
        <v>138</v>
      </c>
      <c r="AJ9" s="648"/>
      <c r="AK9" s="648"/>
      <c r="AL9" s="648" t="s">
        <v>144</v>
      </c>
      <c r="AM9" s="648"/>
      <c r="AN9" s="648"/>
    </row>
    <row r="10" spans="1:27" s="283" customFormat="1" ht="45" customHeight="1">
      <c r="A10" s="288" t="s">
        <v>21</v>
      </c>
      <c r="B10" s="288" t="s">
        <v>22</v>
      </c>
      <c r="C10" s="288">
        <v>1</v>
      </c>
      <c r="D10" s="288">
        <v>2</v>
      </c>
      <c r="E10" s="288">
        <v>3</v>
      </c>
      <c r="F10" s="288">
        <v>4</v>
      </c>
      <c r="G10" s="288">
        <v>5</v>
      </c>
      <c r="H10" s="288">
        <v>6</v>
      </c>
      <c r="I10" s="288">
        <v>7</v>
      </c>
      <c r="J10" s="288">
        <v>8</v>
      </c>
      <c r="K10" s="288">
        <v>9</v>
      </c>
      <c r="L10" s="288">
        <v>10</v>
      </c>
      <c r="M10" s="288">
        <v>11</v>
      </c>
      <c r="N10" s="288">
        <v>12</v>
      </c>
      <c r="O10" s="288">
        <v>13</v>
      </c>
      <c r="P10" s="288">
        <v>14</v>
      </c>
      <c r="Q10" s="288" t="s">
        <v>100</v>
      </c>
      <c r="R10" s="288" t="s">
        <v>101</v>
      </c>
      <c r="S10" s="288" t="s">
        <v>102</v>
      </c>
      <c r="T10" s="288" t="s">
        <v>103</v>
      </c>
      <c r="U10" s="288" t="s">
        <v>104</v>
      </c>
      <c r="V10" s="288" t="s">
        <v>105</v>
      </c>
      <c r="W10" s="288">
        <v>21</v>
      </c>
      <c r="X10" s="288">
        <v>22</v>
      </c>
      <c r="Y10" s="288">
        <v>23</v>
      </c>
      <c r="Z10" s="288">
        <v>24</v>
      </c>
      <c r="AA10" s="288" t="s">
        <v>23</v>
      </c>
    </row>
    <row r="11" spans="1:34" s="282" customFormat="1" ht="24.75" customHeight="1">
      <c r="A11" s="289"/>
      <c r="B11" s="289" t="s">
        <v>7</v>
      </c>
      <c r="C11" s="290">
        <f aca="true" t="shared" si="0" ref="C11:Z11">C12+C17</f>
        <v>452.87000000000006</v>
      </c>
      <c r="D11" s="290">
        <f t="shared" si="0"/>
        <v>5.9</v>
      </c>
      <c r="E11" s="291">
        <f t="shared" si="0"/>
        <v>57576</v>
      </c>
      <c r="F11" s="290">
        <f t="shared" si="0"/>
        <v>6.050000000000001</v>
      </c>
      <c r="G11" s="290">
        <f t="shared" si="0"/>
        <v>0</v>
      </c>
      <c r="H11" s="290">
        <f t="shared" si="0"/>
        <v>7</v>
      </c>
      <c r="I11" s="291">
        <f t="shared" si="0"/>
        <v>129</v>
      </c>
      <c r="J11" s="290">
        <f t="shared" si="0"/>
        <v>13.049999999999999</v>
      </c>
      <c r="K11" s="290">
        <f t="shared" si="0"/>
        <v>10</v>
      </c>
      <c r="L11" s="290">
        <f t="shared" si="0"/>
        <v>0.9999999999999999</v>
      </c>
      <c r="M11" s="291">
        <f t="shared" si="0"/>
        <v>4415</v>
      </c>
      <c r="N11" s="290">
        <f t="shared" si="0"/>
        <v>5.999999999999999</v>
      </c>
      <c r="O11" s="291">
        <f t="shared" si="0"/>
        <v>352632</v>
      </c>
      <c r="P11" s="290">
        <f t="shared" si="0"/>
        <v>13.299999999999999</v>
      </c>
      <c r="Q11" s="290">
        <f t="shared" si="0"/>
        <v>42.85</v>
      </c>
      <c r="R11" s="290">
        <f t="shared" si="0"/>
        <v>31.84</v>
      </c>
      <c r="S11" s="290">
        <f t="shared" si="0"/>
        <v>1.128</v>
      </c>
      <c r="T11" s="290">
        <f t="shared" si="0"/>
        <v>15.895</v>
      </c>
      <c r="U11" s="291">
        <f t="shared" si="0"/>
        <v>47225</v>
      </c>
      <c r="V11" s="291">
        <f t="shared" si="0"/>
        <v>34048</v>
      </c>
      <c r="W11" s="291">
        <f t="shared" si="0"/>
        <v>20429</v>
      </c>
      <c r="X11" s="291">
        <f t="shared" si="0"/>
        <v>13619</v>
      </c>
      <c r="Y11" s="291">
        <f t="shared" si="0"/>
        <v>6133</v>
      </c>
      <c r="Z11" s="291">
        <f t="shared" si="0"/>
        <v>7044</v>
      </c>
      <c r="AA11" s="290"/>
      <c r="AB11" s="292"/>
      <c r="AC11" s="292">
        <v>7044</v>
      </c>
      <c r="AD11" s="293"/>
      <c r="AE11" s="293"/>
      <c r="AF11" s="294"/>
      <c r="AG11" s="295"/>
      <c r="AH11" s="295"/>
    </row>
    <row r="12" spans="1:34" s="282" customFormat="1" ht="24.75" customHeight="1">
      <c r="A12" s="296" t="s">
        <v>24</v>
      </c>
      <c r="B12" s="296" t="s">
        <v>25</v>
      </c>
      <c r="C12" s="297"/>
      <c r="D12" s="298"/>
      <c r="E12" s="297"/>
      <c r="F12" s="298"/>
      <c r="G12" s="298"/>
      <c r="H12" s="298"/>
      <c r="I12" s="298"/>
      <c r="J12" s="298"/>
      <c r="K12" s="298"/>
      <c r="L12" s="298"/>
      <c r="M12" s="297"/>
      <c r="N12" s="298"/>
      <c r="O12" s="298"/>
      <c r="P12" s="298"/>
      <c r="Q12" s="298"/>
      <c r="R12" s="298"/>
      <c r="S12" s="298"/>
      <c r="T12" s="298"/>
      <c r="U12" s="269">
        <f>V12+Y12+Z12</f>
        <v>7513</v>
      </c>
      <c r="V12" s="299">
        <f>SUM(V13:V16)</f>
        <v>6810</v>
      </c>
      <c r="W12" s="299">
        <f>SUM(W13:W16)</f>
        <v>6810</v>
      </c>
      <c r="X12" s="299">
        <f>SUM(X13:X16)</f>
        <v>0</v>
      </c>
      <c r="Y12" s="299">
        <f>SUM(Y13:Y16)</f>
        <v>0</v>
      </c>
      <c r="Z12" s="299">
        <f>SUM(Z13:Z16)</f>
        <v>703</v>
      </c>
      <c r="AA12" s="300"/>
      <c r="AB12" s="292"/>
      <c r="AC12" s="292"/>
      <c r="AD12" s="293"/>
      <c r="AE12" s="293"/>
      <c r="AF12" s="294"/>
      <c r="AG12" s="295"/>
      <c r="AH12" s="295"/>
    </row>
    <row r="13" spans="1:34" s="310" customFormat="1" ht="39.75" customHeight="1">
      <c r="A13" s="301">
        <v>1</v>
      </c>
      <c r="B13" s="301" t="s">
        <v>106</v>
      </c>
      <c r="C13" s="302"/>
      <c r="D13" s="303"/>
      <c r="E13" s="302"/>
      <c r="F13" s="303"/>
      <c r="G13" s="303"/>
      <c r="H13" s="303"/>
      <c r="I13" s="303"/>
      <c r="J13" s="303"/>
      <c r="K13" s="303"/>
      <c r="L13" s="303"/>
      <c r="M13" s="302"/>
      <c r="N13" s="303"/>
      <c r="O13" s="303"/>
      <c r="P13" s="303"/>
      <c r="Q13" s="303"/>
      <c r="R13" s="303"/>
      <c r="S13" s="303"/>
      <c r="T13" s="303"/>
      <c r="U13" s="270">
        <f>V13+Y13+Z13</f>
        <v>913</v>
      </c>
      <c r="V13" s="271">
        <v>210</v>
      </c>
      <c r="W13" s="304">
        <v>210</v>
      </c>
      <c r="X13" s="304"/>
      <c r="Y13" s="304"/>
      <c r="Z13" s="304">
        <v>703</v>
      </c>
      <c r="AA13" s="305"/>
      <c r="AB13" s="306"/>
      <c r="AC13" s="306"/>
      <c r="AD13" s="307"/>
      <c r="AE13" s="307"/>
      <c r="AF13" s="308"/>
      <c r="AG13" s="309"/>
      <c r="AH13" s="309"/>
    </row>
    <row r="14" spans="1:34" s="310" customFormat="1" ht="24.75" customHeight="1">
      <c r="A14" s="301">
        <v>2</v>
      </c>
      <c r="B14" s="301" t="s">
        <v>145</v>
      </c>
      <c r="C14" s="302"/>
      <c r="D14" s="303"/>
      <c r="E14" s="302"/>
      <c r="F14" s="303"/>
      <c r="G14" s="303"/>
      <c r="H14" s="303"/>
      <c r="I14" s="303"/>
      <c r="J14" s="303"/>
      <c r="K14" s="303"/>
      <c r="L14" s="303"/>
      <c r="M14" s="302"/>
      <c r="N14" s="303"/>
      <c r="O14" s="303"/>
      <c r="P14" s="303"/>
      <c r="Q14" s="303"/>
      <c r="R14" s="303"/>
      <c r="S14" s="303"/>
      <c r="T14" s="303"/>
      <c r="U14" s="270">
        <f>V14+Y14+Z14</f>
        <v>2200</v>
      </c>
      <c r="V14" s="271">
        <v>2200</v>
      </c>
      <c r="W14" s="304">
        <v>2200</v>
      </c>
      <c r="X14" s="304"/>
      <c r="Y14" s="304"/>
      <c r="Z14" s="304"/>
      <c r="AA14" s="305"/>
      <c r="AB14" s="306"/>
      <c r="AC14" s="306"/>
      <c r="AD14" s="307"/>
      <c r="AE14" s="307"/>
      <c r="AF14" s="308"/>
      <c r="AG14" s="309"/>
      <c r="AH14" s="309"/>
    </row>
    <row r="15" spans="1:34" s="310" customFormat="1" ht="32.25" customHeight="1">
      <c r="A15" s="301">
        <v>4</v>
      </c>
      <c r="B15" s="301" t="s">
        <v>32</v>
      </c>
      <c r="C15" s="302"/>
      <c r="D15" s="303"/>
      <c r="E15" s="302"/>
      <c r="F15" s="303"/>
      <c r="G15" s="303"/>
      <c r="H15" s="303"/>
      <c r="I15" s="303"/>
      <c r="J15" s="303"/>
      <c r="K15" s="303"/>
      <c r="L15" s="303"/>
      <c r="M15" s="302"/>
      <c r="N15" s="303"/>
      <c r="O15" s="303"/>
      <c r="P15" s="303"/>
      <c r="Q15" s="303"/>
      <c r="R15" s="303"/>
      <c r="S15" s="303"/>
      <c r="T15" s="303"/>
      <c r="U15" s="270">
        <f>V15+Y15+Z15</f>
        <v>2200</v>
      </c>
      <c r="V15" s="271">
        <v>2200</v>
      </c>
      <c r="W15" s="304">
        <v>2200</v>
      </c>
      <c r="X15" s="304"/>
      <c r="Y15" s="304"/>
      <c r="Z15" s="304"/>
      <c r="AA15" s="305"/>
      <c r="AB15" s="306"/>
      <c r="AC15" s="306"/>
      <c r="AD15" s="307"/>
      <c r="AE15" s="307"/>
      <c r="AF15" s="308"/>
      <c r="AG15" s="309"/>
      <c r="AH15" s="309"/>
    </row>
    <row r="16" spans="1:34" s="310" customFormat="1" ht="36.75" customHeight="1">
      <c r="A16" s="395">
        <v>5</v>
      </c>
      <c r="B16" s="395" t="s">
        <v>33</v>
      </c>
      <c r="C16" s="396"/>
      <c r="D16" s="397"/>
      <c r="E16" s="396"/>
      <c r="F16" s="397"/>
      <c r="G16" s="397"/>
      <c r="H16" s="397"/>
      <c r="I16" s="397"/>
      <c r="J16" s="397"/>
      <c r="K16" s="397"/>
      <c r="L16" s="397"/>
      <c r="M16" s="396"/>
      <c r="N16" s="397"/>
      <c r="O16" s="397"/>
      <c r="P16" s="397"/>
      <c r="Q16" s="397"/>
      <c r="R16" s="397"/>
      <c r="S16" s="397"/>
      <c r="T16" s="397"/>
      <c r="U16" s="318">
        <f>V16+Y16+Z16</f>
        <v>2200</v>
      </c>
      <c r="V16" s="276">
        <v>2200</v>
      </c>
      <c r="W16" s="319">
        <v>2200</v>
      </c>
      <c r="X16" s="319"/>
      <c r="Y16" s="319"/>
      <c r="Z16" s="319"/>
      <c r="AA16" s="398"/>
      <c r="AB16" s="306"/>
      <c r="AC16" s="306"/>
      <c r="AD16" s="307"/>
      <c r="AE16" s="307"/>
      <c r="AF16" s="308"/>
      <c r="AG16" s="309"/>
      <c r="AH16" s="309"/>
    </row>
    <row r="17" spans="1:40" s="402" customFormat="1" ht="24.75" customHeight="1">
      <c r="A17" s="296" t="s">
        <v>34</v>
      </c>
      <c r="B17" s="296" t="s">
        <v>35</v>
      </c>
      <c r="C17" s="298">
        <f>SUM(C18:C27)</f>
        <v>452.87000000000006</v>
      </c>
      <c r="D17" s="297">
        <f aca="true" t="shared" si="1" ref="D17:Z17">SUM(D18:D27)</f>
        <v>5.9</v>
      </c>
      <c r="E17" s="297">
        <f t="shared" si="1"/>
        <v>57576</v>
      </c>
      <c r="F17" s="298">
        <f>SUM(F18:F27)</f>
        <v>6.050000000000001</v>
      </c>
      <c r="G17" s="298"/>
      <c r="H17" s="298">
        <f>SUM(H18:H27)</f>
        <v>7</v>
      </c>
      <c r="I17" s="297">
        <f>SUM(I18:I27)</f>
        <v>129</v>
      </c>
      <c r="J17" s="298">
        <f>SUM(J18:J27)</f>
        <v>13.049999999999999</v>
      </c>
      <c r="K17" s="297">
        <f t="shared" si="1"/>
        <v>10</v>
      </c>
      <c r="L17" s="297">
        <f t="shared" si="1"/>
        <v>0.9999999999999999</v>
      </c>
      <c r="M17" s="297">
        <f t="shared" si="1"/>
        <v>4415</v>
      </c>
      <c r="N17" s="298">
        <f t="shared" si="1"/>
        <v>5.999999999999999</v>
      </c>
      <c r="O17" s="297">
        <f t="shared" si="1"/>
        <v>352632</v>
      </c>
      <c r="P17" s="297">
        <f t="shared" si="1"/>
        <v>13.299999999999999</v>
      </c>
      <c r="Q17" s="298">
        <f>SUM(Q18:Q27)</f>
        <v>42.85</v>
      </c>
      <c r="R17" s="298">
        <f>SUM(R18:R27)</f>
        <v>31.84</v>
      </c>
      <c r="S17" s="311">
        <f>SUM(S18:S27)</f>
        <v>1.128</v>
      </c>
      <c r="T17" s="311">
        <f>SUM(T18:T27)</f>
        <v>15.895</v>
      </c>
      <c r="U17" s="297">
        <f>SUM(U18:U27)</f>
        <v>39712</v>
      </c>
      <c r="V17" s="297">
        <f t="shared" si="1"/>
        <v>27238</v>
      </c>
      <c r="W17" s="297">
        <f t="shared" si="1"/>
        <v>13619</v>
      </c>
      <c r="X17" s="297">
        <f t="shared" si="1"/>
        <v>13619</v>
      </c>
      <c r="Y17" s="297">
        <f t="shared" si="1"/>
        <v>6133</v>
      </c>
      <c r="Z17" s="297">
        <f t="shared" si="1"/>
        <v>6341</v>
      </c>
      <c r="AA17" s="298"/>
      <c r="AB17" s="399"/>
      <c r="AC17" s="400">
        <v>42.85</v>
      </c>
      <c r="AD17" s="399">
        <v>13619</v>
      </c>
      <c r="AE17" s="399">
        <f>Q17*AD17/AC17</f>
        <v>13619</v>
      </c>
      <c r="AF17" s="400">
        <v>31.84</v>
      </c>
      <c r="AG17" s="401">
        <v>13619</v>
      </c>
      <c r="AH17" s="401">
        <f>R17*AG17/AF17</f>
        <v>13619</v>
      </c>
      <c r="AI17" s="402">
        <v>1.128</v>
      </c>
      <c r="AJ17" s="402">
        <v>6133</v>
      </c>
      <c r="AK17" s="403">
        <f>S17*AJ17/AI17</f>
        <v>6133</v>
      </c>
      <c r="AL17" s="402">
        <v>15.895</v>
      </c>
      <c r="AM17" s="402">
        <f>7044-703</f>
        <v>6341</v>
      </c>
      <c r="AN17" s="403">
        <f>T17*AM17/AL17</f>
        <v>6341</v>
      </c>
    </row>
    <row r="18" spans="1:40" s="407" customFormat="1" ht="18.75" customHeight="1">
      <c r="A18" s="313">
        <v>1</v>
      </c>
      <c r="B18" s="278" t="s">
        <v>36</v>
      </c>
      <c r="C18" s="275">
        <v>65.59</v>
      </c>
      <c r="D18" s="275">
        <v>0.7</v>
      </c>
      <c r="E18" s="314">
        <f>5655+535</f>
        <v>6190</v>
      </c>
      <c r="F18" s="272">
        <v>0.6</v>
      </c>
      <c r="G18" s="272" t="s">
        <v>80</v>
      </c>
      <c r="H18" s="272">
        <v>1</v>
      </c>
      <c r="I18" s="271">
        <v>11</v>
      </c>
      <c r="J18" s="272">
        <v>1.15</v>
      </c>
      <c r="K18" s="274">
        <v>1</v>
      </c>
      <c r="L18" s="272">
        <v>0.1</v>
      </c>
      <c r="M18" s="270">
        <v>134</v>
      </c>
      <c r="N18" s="272">
        <v>0.5</v>
      </c>
      <c r="O18" s="270">
        <v>25751</v>
      </c>
      <c r="P18" s="272">
        <v>1</v>
      </c>
      <c r="Q18" s="272">
        <f>(D18+F18)*3+L18+N18</f>
        <v>4.5</v>
      </c>
      <c r="R18" s="272">
        <f>D18+F18+H18*0.12+J18+N18</f>
        <v>3.07</v>
      </c>
      <c r="S18" s="272">
        <f>(F18+D18)*0.12*H18</f>
        <v>0.15599999999999997</v>
      </c>
      <c r="T18" s="272">
        <f>(D18+F18)*P18</f>
        <v>1.2999999999999998</v>
      </c>
      <c r="U18" s="270">
        <f>V18+Y18+Z18</f>
        <v>4110</v>
      </c>
      <c r="V18" s="270">
        <f>W18+X18</f>
        <v>2743</v>
      </c>
      <c r="W18" s="273">
        <v>1430</v>
      </c>
      <c r="X18" s="277">
        <v>1313</v>
      </c>
      <c r="Y18" s="277">
        <v>848</v>
      </c>
      <c r="Z18" s="277">
        <v>519</v>
      </c>
      <c r="AA18" s="315"/>
      <c r="AB18" s="399"/>
      <c r="AC18" s="400">
        <v>42.85</v>
      </c>
      <c r="AD18" s="399">
        <v>13619</v>
      </c>
      <c r="AE18" s="404">
        <f aca="true" t="shared" si="2" ref="AE18:AE27">Q18*AD18/AC18</f>
        <v>1430.2333722287046</v>
      </c>
      <c r="AF18" s="400">
        <v>31.84</v>
      </c>
      <c r="AG18" s="401">
        <v>13619</v>
      </c>
      <c r="AH18" s="405">
        <f aca="true" t="shared" si="3" ref="AH18:AH27">R18*AG18/AF18</f>
        <v>1313.1385050251254</v>
      </c>
      <c r="AI18" s="402">
        <v>1.128</v>
      </c>
      <c r="AJ18" s="402">
        <v>6133</v>
      </c>
      <c r="AK18" s="406">
        <f aca="true" t="shared" si="4" ref="AK18:AK27">S18*AJ18/AI18</f>
        <v>848.1808510638297</v>
      </c>
      <c r="AL18" s="402">
        <v>15.895</v>
      </c>
      <c r="AM18" s="402">
        <f aca="true" t="shared" si="5" ref="AM18:AM27">7044-703</f>
        <v>6341</v>
      </c>
      <c r="AN18" s="406">
        <f aca="true" t="shared" si="6" ref="AN18:AN27">T18*AM18/AL18</f>
        <v>518.6096256684492</v>
      </c>
    </row>
    <row r="19" spans="1:40" s="407" customFormat="1" ht="18.75" customHeight="1">
      <c r="A19" s="313">
        <v>2</v>
      </c>
      <c r="B19" s="278" t="s">
        <v>37</v>
      </c>
      <c r="C19" s="275">
        <v>64.65</v>
      </c>
      <c r="D19" s="275">
        <v>0.7</v>
      </c>
      <c r="E19" s="314">
        <f>5259+986</f>
        <v>6245</v>
      </c>
      <c r="F19" s="272">
        <v>0.6</v>
      </c>
      <c r="G19" s="272" t="s">
        <v>80</v>
      </c>
      <c r="H19" s="272">
        <v>1</v>
      </c>
      <c r="I19" s="271">
        <v>12</v>
      </c>
      <c r="J19" s="272">
        <v>1.15</v>
      </c>
      <c r="K19" s="274">
        <v>1</v>
      </c>
      <c r="L19" s="272">
        <v>0.1</v>
      </c>
      <c r="M19" s="270">
        <v>350</v>
      </c>
      <c r="N19" s="272">
        <v>0.6</v>
      </c>
      <c r="O19" s="270">
        <v>27452</v>
      </c>
      <c r="P19" s="272">
        <v>1</v>
      </c>
      <c r="Q19" s="272">
        <f aca="true" t="shared" si="7" ref="Q19:Q27">(D19+F19)*3+L19+N19</f>
        <v>4.6</v>
      </c>
      <c r="R19" s="272">
        <f aca="true" t="shared" si="8" ref="R19:R27">D19+F19+H19*0.12+J19+N19</f>
        <v>3.17</v>
      </c>
      <c r="S19" s="272">
        <f aca="true" t="shared" si="9" ref="S19:S24">(F19+D19)*0.12*H19</f>
        <v>0.15599999999999997</v>
      </c>
      <c r="T19" s="272">
        <f>(D19+F19)*P19</f>
        <v>1.2999999999999998</v>
      </c>
      <c r="U19" s="270">
        <f aca="true" t="shared" si="10" ref="U19:U27">V19+Y19+Z19</f>
        <v>4185</v>
      </c>
      <c r="V19" s="270">
        <f>W19+X19</f>
        <v>2818</v>
      </c>
      <c r="W19" s="273">
        <v>1462</v>
      </c>
      <c r="X19" s="277">
        <v>1356</v>
      </c>
      <c r="Y19" s="277">
        <v>848</v>
      </c>
      <c r="Z19" s="277">
        <v>519</v>
      </c>
      <c r="AA19" s="315"/>
      <c r="AB19" s="399"/>
      <c r="AC19" s="400">
        <v>42.85</v>
      </c>
      <c r="AD19" s="399">
        <v>13619</v>
      </c>
      <c r="AE19" s="404">
        <f t="shared" si="2"/>
        <v>1462.016336056009</v>
      </c>
      <c r="AF19" s="400">
        <v>31.84</v>
      </c>
      <c r="AG19" s="401">
        <v>13619</v>
      </c>
      <c r="AH19" s="405">
        <f t="shared" si="3"/>
        <v>1355.9117462311556</v>
      </c>
      <c r="AI19" s="402">
        <v>1.128</v>
      </c>
      <c r="AJ19" s="402">
        <v>6133</v>
      </c>
      <c r="AK19" s="406">
        <f t="shared" si="4"/>
        <v>848.1808510638297</v>
      </c>
      <c r="AL19" s="402">
        <v>15.895</v>
      </c>
      <c r="AM19" s="402">
        <f t="shared" si="5"/>
        <v>6341</v>
      </c>
      <c r="AN19" s="406">
        <f t="shared" si="6"/>
        <v>518.6096256684492</v>
      </c>
    </row>
    <row r="20" spans="1:40" s="407" customFormat="1" ht="18.75" customHeight="1">
      <c r="A20" s="313">
        <v>3</v>
      </c>
      <c r="B20" s="278" t="s">
        <v>38</v>
      </c>
      <c r="C20" s="275">
        <v>61.8</v>
      </c>
      <c r="D20" s="275">
        <v>0.7</v>
      </c>
      <c r="E20" s="314">
        <f>5475+1841</f>
        <v>7316</v>
      </c>
      <c r="F20" s="272">
        <v>0.7</v>
      </c>
      <c r="G20" s="272" t="s">
        <v>80</v>
      </c>
      <c r="H20" s="272">
        <v>1</v>
      </c>
      <c r="I20" s="271">
        <v>12</v>
      </c>
      <c r="J20" s="272">
        <v>1.15</v>
      </c>
      <c r="K20" s="274">
        <v>1</v>
      </c>
      <c r="L20" s="272">
        <v>0.1</v>
      </c>
      <c r="M20" s="270">
        <v>140</v>
      </c>
      <c r="N20" s="272">
        <v>0.5</v>
      </c>
      <c r="O20" s="270">
        <v>31952</v>
      </c>
      <c r="P20" s="272">
        <v>1.3</v>
      </c>
      <c r="Q20" s="272">
        <f>(D20+F20)*3+L20+N20</f>
        <v>4.799999999999999</v>
      </c>
      <c r="R20" s="272">
        <f t="shared" si="8"/>
        <v>3.17</v>
      </c>
      <c r="S20" s="272">
        <f t="shared" si="9"/>
        <v>0.16799999999999998</v>
      </c>
      <c r="T20" s="272">
        <f aca="true" t="shared" si="11" ref="T20:T27">(D20+F20)*P20</f>
        <v>1.8199999999999998</v>
      </c>
      <c r="U20" s="270">
        <f t="shared" si="10"/>
        <v>4521</v>
      </c>
      <c r="V20" s="270">
        <f aca="true" t="shared" si="12" ref="V20:V27">W20+X20</f>
        <v>2882</v>
      </c>
      <c r="W20" s="273">
        <v>1526</v>
      </c>
      <c r="X20" s="277">
        <v>1356</v>
      </c>
      <c r="Y20" s="277">
        <v>913</v>
      </c>
      <c r="Z20" s="277">
        <v>726</v>
      </c>
      <c r="AA20" s="315"/>
      <c r="AB20" s="399"/>
      <c r="AC20" s="400">
        <v>42.85</v>
      </c>
      <c r="AD20" s="399">
        <v>13619</v>
      </c>
      <c r="AE20" s="404">
        <f t="shared" si="2"/>
        <v>1525.582263710618</v>
      </c>
      <c r="AF20" s="400">
        <v>31.84</v>
      </c>
      <c r="AG20" s="401">
        <v>13619</v>
      </c>
      <c r="AH20" s="405">
        <f t="shared" si="3"/>
        <v>1355.9117462311556</v>
      </c>
      <c r="AI20" s="402">
        <v>1.128</v>
      </c>
      <c r="AJ20" s="402">
        <v>6133</v>
      </c>
      <c r="AK20" s="406">
        <f t="shared" si="4"/>
        <v>913.4255319148936</v>
      </c>
      <c r="AL20" s="402">
        <v>15.895</v>
      </c>
      <c r="AM20" s="402">
        <f t="shared" si="5"/>
        <v>6341</v>
      </c>
      <c r="AN20" s="406">
        <f t="shared" si="6"/>
        <v>726.0534759358288</v>
      </c>
    </row>
    <row r="21" spans="1:40" s="407" customFormat="1" ht="18.75" customHeight="1">
      <c r="A21" s="313">
        <v>4</v>
      </c>
      <c r="B21" s="278" t="s">
        <v>39</v>
      </c>
      <c r="C21" s="275">
        <v>57.63</v>
      </c>
      <c r="D21" s="275">
        <v>0.6</v>
      </c>
      <c r="E21" s="314">
        <f>9485+1509</f>
        <v>10994</v>
      </c>
      <c r="F21" s="272">
        <v>0.9</v>
      </c>
      <c r="G21" s="272" t="s">
        <v>80</v>
      </c>
      <c r="H21" s="272">
        <v>1</v>
      </c>
      <c r="I21" s="271">
        <v>19</v>
      </c>
      <c r="J21" s="272">
        <v>1.5</v>
      </c>
      <c r="K21" s="274">
        <v>1</v>
      </c>
      <c r="L21" s="272">
        <v>0.1</v>
      </c>
      <c r="M21" s="270">
        <v>1115</v>
      </c>
      <c r="N21" s="272">
        <v>0.7</v>
      </c>
      <c r="O21" s="270">
        <v>53080</v>
      </c>
      <c r="P21" s="272">
        <v>1.9</v>
      </c>
      <c r="Q21" s="272">
        <f t="shared" si="7"/>
        <v>5.3</v>
      </c>
      <c r="R21" s="272">
        <f t="shared" si="8"/>
        <v>3.8200000000000003</v>
      </c>
      <c r="S21" s="272">
        <f t="shared" si="9"/>
        <v>0.18</v>
      </c>
      <c r="T21" s="272">
        <f t="shared" si="11"/>
        <v>2.8499999999999996</v>
      </c>
      <c r="U21" s="270">
        <f t="shared" si="10"/>
        <v>5436</v>
      </c>
      <c r="V21" s="270">
        <f t="shared" si="12"/>
        <v>3320</v>
      </c>
      <c r="W21" s="273">
        <v>1685</v>
      </c>
      <c r="X21" s="277">
        <v>1635</v>
      </c>
      <c r="Y21" s="277">
        <v>979</v>
      </c>
      <c r="Z21" s="277">
        <v>1137</v>
      </c>
      <c r="AA21" s="315"/>
      <c r="AB21" s="399"/>
      <c r="AC21" s="400">
        <v>42.85</v>
      </c>
      <c r="AD21" s="399">
        <v>13619</v>
      </c>
      <c r="AE21" s="404">
        <f t="shared" si="2"/>
        <v>1684.497082847141</v>
      </c>
      <c r="AF21" s="400">
        <v>31.84</v>
      </c>
      <c r="AG21" s="401">
        <v>13619</v>
      </c>
      <c r="AH21" s="405">
        <f t="shared" si="3"/>
        <v>1633.9378140703518</v>
      </c>
      <c r="AI21" s="402">
        <v>1.128</v>
      </c>
      <c r="AJ21" s="402">
        <v>6133</v>
      </c>
      <c r="AK21" s="406">
        <f t="shared" si="4"/>
        <v>978.6702127659576</v>
      </c>
      <c r="AL21" s="402">
        <v>15.895</v>
      </c>
      <c r="AM21" s="402">
        <f t="shared" si="5"/>
        <v>6341</v>
      </c>
      <c r="AN21" s="406">
        <f t="shared" si="6"/>
        <v>1136.951871657754</v>
      </c>
    </row>
    <row r="22" spans="1:40" s="407" customFormat="1" ht="18.75" customHeight="1">
      <c r="A22" s="313">
        <v>5</v>
      </c>
      <c r="B22" s="278" t="s">
        <v>40</v>
      </c>
      <c r="C22" s="275">
        <v>58.62</v>
      </c>
      <c r="D22" s="275">
        <v>0.6</v>
      </c>
      <c r="E22" s="314">
        <f>7274+741</f>
        <v>8015</v>
      </c>
      <c r="F22" s="272">
        <v>0.8</v>
      </c>
      <c r="G22" s="272" t="s">
        <v>80</v>
      </c>
      <c r="H22" s="272">
        <v>1</v>
      </c>
      <c r="I22" s="271">
        <v>14</v>
      </c>
      <c r="J22" s="272">
        <v>1.3</v>
      </c>
      <c r="K22" s="274">
        <v>1</v>
      </c>
      <c r="L22" s="272">
        <v>0.1</v>
      </c>
      <c r="M22" s="270">
        <v>662</v>
      </c>
      <c r="N22" s="272">
        <v>0.7</v>
      </c>
      <c r="O22" s="270">
        <v>38666</v>
      </c>
      <c r="P22" s="272">
        <v>1.3</v>
      </c>
      <c r="Q22" s="272">
        <f t="shared" si="7"/>
        <v>4.999999999999999</v>
      </c>
      <c r="R22" s="272">
        <f t="shared" si="8"/>
        <v>3.5200000000000005</v>
      </c>
      <c r="S22" s="272">
        <f t="shared" si="9"/>
        <v>0.16799999999999998</v>
      </c>
      <c r="T22" s="272">
        <f t="shared" si="11"/>
        <v>1.8199999999999998</v>
      </c>
      <c r="U22" s="270">
        <f t="shared" si="10"/>
        <v>4734</v>
      </c>
      <c r="V22" s="270">
        <f t="shared" si="12"/>
        <v>3095</v>
      </c>
      <c r="W22" s="273">
        <v>1589</v>
      </c>
      <c r="X22" s="277">
        <v>1506</v>
      </c>
      <c r="Y22" s="277">
        <v>913</v>
      </c>
      <c r="Z22" s="277">
        <v>726</v>
      </c>
      <c r="AA22" s="315"/>
      <c r="AB22" s="399"/>
      <c r="AC22" s="400">
        <v>42.85</v>
      </c>
      <c r="AD22" s="399">
        <v>13619</v>
      </c>
      <c r="AE22" s="404">
        <f t="shared" si="2"/>
        <v>1589.1481913652271</v>
      </c>
      <c r="AF22" s="400">
        <v>31.84</v>
      </c>
      <c r="AG22" s="401">
        <v>13619</v>
      </c>
      <c r="AH22" s="405">
        <f t="shared" si="3"/>
        <v>1505.6180904522614</v>
      </c>
      <c r="AI22" s="402">
        <v>1.128</v>
      </c>
      <c r="AJ22" s="402">
        <v>6133</v>
      </c>
      <c r="AK22" s="406">
        <f t="shared" si="4"/>
        <v>913.4255319148936</v>
      </c>
      <c r="AL22" s="402">
        <v>15.895</v>
      </c>
      <c r="AM22" s="402">
        <f t="shared" si="5"/>
        <v>6341</v>
      </c>
      <c r="AN22" s="406">
        <f t="shared" si="6"/>
        <v>726.0534759358288</v>
      </c>
    </row>
    <row r="23" spans="1:40" ht="18" customHeight="1">
      <c r="A23" s="313">
        <v>6</v>
      </c>
      <c r="B23" s="278" t="s">
        <v>41</v>
      </c>
      <c r="C23" s="275">
        <v>50.11</v>
      </c>
      <c r="D23" s="275">
        <v>0.6</v>
      </c>
      <c r="E23" s="314">
        <f>4243+1343</f>
        <v>5586</v>
      </c>
      <c r="F23" s="275">
        <v>0.5</v>
      </c>
      <c r="G23" s="272" t="s">
        <v>80</v>
      </c>
      <c r="H23" s="272">
        <v>1</v>
      </c>
      <c r="I23" s="274">
        <v>10</v>
      </c>
      <c r="J23" s="275">
        <v>1.15</v>
      </c>
      <c r="K23" s="274">
        <v>1</v>
      </c>
      <c r="L23" s="275">
        <v>0.1</v>
      </c>
      <c r="M23" s="274">
        <v>196</v>
      </c>
      <c r="N23" s="275">
        <v>0.5</v>
      </c>
      <c r="O23" s="274">
        <v>29096</v>
      </c>
      <c r="P23" s="275">
        <v>1</v>
      </c>
      <c r="Q23" s="272">
        <f t="shared" si="7"/>
        <v>3.9000000000000004</v>
      </c>
      <c r="R23" s="272">
        <f t="shared" si="8"/>
        <v>2.87</v>
      </c>
      <c r="S23" s="272">
        <f t="shared" si="9"/>
        <v>0.132</v>
      </c>
      <c r="T23" s="272">
        <f t="shared" si="11"/>
        <v>1.1</v>
      </c>
      <c r="U23" s="270">
        <f t="shared" si="10"/>
        <v>3625</v>
      </c>
      <c r="V23" s="270">
        <f t="shared" si="12"/>
        <v>2467</v>
      </c>
      <c r="W23" s="273">
        <v>1240</v>
      </c>
      <c r="X23" s="277">
        <v>1227</v>
      </c>
      <c r="Y23" s="277">
        <v>719</v>
      </c>
      <c r="Z23" s="277">
        <v>439</v>
      </c>
      <c r="AA23" s="315"/>
      <c r="AB23" s="292"/>
      <c r="AC23" s="312">
        <v>42.85</v>
      </c>
      <c r="AD23" s="292">
        <v>13619</v>
      </c>
      <c r="AE23" s="306">
        <f t="shared" si="2"/>
        <v>1239.5355892648777</v>
      </c>
      <c r="AF23" s="312">
        <v>31.84</v>
      </c>
      <c r="AG23" s="295">
        <v>13619</v>
      </c>
      <c r="AH23" s="309">
        <f t="shared" si="3"/>
        <v>1227.5920226130652</v>
      </c>
      <c r="AI23" s="282">
        <v>1.128</v>
      </c>
      <c r="AJ23" s="282">
        <v>6133</v>
      </c>
      <c r="AK23" s="316">
        <f t="shared" si="4"/>
        <v>717.6914893617022</v>
      </c>
      <c r="AL23" s="282">
        <v>15.895</v>
      </c>
      <c r="AM23" s="282">
        <f t="shared" si="5"/>
        <v>6341</v>
      </c>
      <c r="AN23" s="316">
        <f t="shared" si="6"/>
        <v>438.82352941176475</v>
      </c>
    </row>
    <row r="24" spans="1:40" ht="18.75" customHeight="1">
      <c r="A24" s="313">
        <v>7</v>
      </c>
      <c r="B24" s="278" t="s">
        <v>42</v>
      </c>
      <c r="C24" s="275">
        <v>60.17</v>
      </c>
      <c r="D24" s="275">
        <v>0.7</v>
      </c>
      <c r="E24" s="314">
        <f>6221+559</f>
        <v>6780</v>
      </c>
      <c r="F24" s="272">
        <v>0.7</v>
      </c>
      <c r="G24" s="272" t="s">
        <v>80</v>
      </c>
      <c r="H24" s="272">
        <v>1</v>
      </c>
      <c r="I24" s="271">
        <v>15</v>
      </c>
      <c r="J24" s="272">
        <v>1.5</v>
      </c>
      <c r="K24" s="274">
        <v>1</v>
      </c>
      <c r="L24" s="272">
        <v>0.1</v>
      </c>
      <c r="M24" s="270">
        <v>276</v>
      </c>
      <c r="N24" s="272">
        <v>0.6</v>
      </c>
      <c r="O24" s="270">
        <v>30690</v>
      </c>
      <c r="P24" s="272">
        <v>1.3</v>
      </c>
      <c r="Q24" s="272">
        <f t="shared" si="7"/>
        <v>4.899999999999999</v>
      </c>
      <c r="R24" s="272">
        <f t="shared" si="8"/>
        <v>3.62</v>
      </c>
      <c r="S24" s="272">
        <f t="shared" si="9"/>
        <v>0.16799999999999998</v>
      </c>
      <c r="T24" s="272">
        <f t="shared" si="11"/>
        <v>1.8199999999999998</v>
      </c>
      <c r="U24" s="270">
        <f t="shared" si="10"/>
        <v>4744</v>
      </c>
      <c r="V24" s="270">
        <f t="shared" si="12"/>
        <v>3105</v>
      </c>
      <c r="W24" s="273">
        <v>1557</v>
      </c>
      <c r="X24" s="277">
        <v>1548</v>
      </c>
      <c r="Y24" s="277">
        <v>913</v>
      </c>
      <c r="Z24" s="277">
        <v>726</v>
      </c>
      <c r="AA24" s="315"/>
      <c r="AB24" s="292"/>
      <c r="AC24" s="312">
        <v>42.85</v>
      </c>
      <c r="AD24" s="292">
        <v>13619</v>
      </c>
      <c r="AE24" s="306">
        <f t="shared" si="2"/>
        <v>1557.3652275379225</v>
      </c>
      <c r="AF24" s="312">
        <v>31.84</v>
      </c>
      <c r="AG24" s="295">
        <v>13619</v>
      </c>
      <c r="AH24" s="309">
        <f t="shared" si="3"/>
        <v>1548.3913316582914</v>
      </c>
      <c r="AI24" s="282">
        <v>1.128</v>
      </c>
      <c r="AJ24" s="282">
        <v>6133</v>
      </c>
      <c r="AK24" s="316">
        <f t="shared" si="4"/>
        <v>913.4255319148936</v>
      </c>
      <c r="AL24" s="282">
        <v>15.895</v>
      </c>
      <c r="AM24" s="282">
        <f t="shared" si="5"/>
        <v>6341</v>
      </c>
      <c r="AN24" s="316">
        <f t="shared" si="6"/>
        <v>726.0534759358288</v>
      </c>
    </row>
    <row r="25" spans="1:40" ht="18.75" customHeight="1">
      <c r="A25" s="313">
        <v>8</v>
      </c>
      <c r="B25" s="278" t="s">
        <v>43</v>
      </c>
      <c r="C25" s="275">
        <f>11.9+9.65</f>
        <v>21.55</v>
      </c>
      <c r="D25" s="275">
        <v>0.5</v>
      </c>
      <c r="E25" s="314">
        <f>2997+2429</f>
        <v>5426</v>
      </c>
      <c r="F25" s="272">
        <v>0.45</v>
      </c>
      <c r="G25" s="272"/>
      <c r="H25" s="272"/>
      <c r="I25" s="271">
        <v>21</v>
      </c>
      <c r="J25" s="272">
        <v>2</v>
      </c>
      <c r="K25" s="274">
        <v>1</v>
      </c>
      <c r="L25" s="272">
        <v>0.1</v>
      </c>
      <c r="M25" s="270">
        <v>1100</v>
      </c>
      <c r="N25" s="317">
        <v>0.7</v>
      </c>
      <c r="O25" s="304">
        <v>59937</v>
      </c>
      <c r="P25" s="317">
        <v>1.9</v>
      </c>
      <c r="Q25" s="272">
        <f t="shared" si="7"/>
        <v>3.6499999999999995</v>
      </c>
      <c r="R25" s="272">
        <f t="shared" si="8"/>
        <v>3.6500000000000004</v>
      </c>
      <c r="S25" s="272"/>
      <c r="T25" s="272">
        <f t="shared" si="11"/>
        <v>1.805</v>
      </c>
      <c r="U25" s="270">
        <f t="shared" si="10"/>
        <v>3442</v>
      </c>
      <c r="V25" s="270">
        <f t="shared" si="12"/>
        <v>2722</v>
      </c>
      <c r="W25" s="277">
        <v>1160</v>
      </c>
      <c r="X25" s="277">
        <v>1562</v>
      </c>
      <c r="Y25" s="277"/>
      <c r="Z25" s="277">
        <v>720</v>
      </c>
      <c r="AA25" s="270"/>
      <c r="AB25" s="292"/>
      <c r="AC25" s="312">
        <v>42.85</v>
      </c>
      <c r="AD25" s="292">
        <v>13619</v>
      </c>
      <c r="AE25" s="306">
        <f t="shared" si="2"/>
        <v>1160.078179696616</v>
      </c>
      <c r="AF25" s="312">
        <v>31.84</v>
      </c>
      <c r="AG25" s="295">
        <v>13619</v>
      </c>
      <c r="AH25" s="309">
        <f t="shared" si="3"/>
        <v>1561.2233040201006</v>
      </c>
      <c r="AI25" s="282">
        <v>1.128</v>
      </c>
      <c r="AJ25" s="282">
        <v>6133</v>
      </c>
      <c r="AK25" s="316">
        <f t="shared" si="4"/>
        <v>0</v>
      </c>
      <c r="AL25" s="282">
        <v>15.895</v>
      </c>
      <c r="AM25" s="282">
        <f t="shared" si="5"/>
        <v>6341</v>
      </c>
      <c r="AN25" s="316">
        <f t="shared" si="6"/>
        <v>720.0695187165775</v>
      </c>
    </row>
    <row r="26" spans="1:40" ht="18.75" customHeight="1">
      <c r="A26" s="313">
        <v>9</v>
      </c>
      <c r="B26" s="278" t="s">
        <v>44</v>
      </c>
      <c r="C26" s="275">
        <f>8.06+1.17</f>
        <v>9.23</v>
      </c>
      <c r="D26" s="275">
        <v>0.4</v>
      </c>
      <c r="E26" s="314">
        <f>249+36</f>
        <v>285</v>
      </c>
      <c r="F26" s="272">
        <v>0.4</v>
      </c>
      <c r="G26" s="272"/>
      <c r="H26" s="272"/>
      <c r="I26" s="271">
        <v>3</v>
      </c>
      <c r="J26" s="317">
        <v>1</v>
      </c>
      <c r="K26" s="274">
        <v>1</v>
      </c>
      <c r="L26" s="272">
        <v>0.1</v>
      </c>
      <c r="M26" s="270">
        <v>229</v>
      </c>
      <c r="N26" s="317">
        <v>0.6</v>
      </c>
      <c r="O26" s="304">
        <v>6482</v>
      </c>
      <c r="P26" s="317">
        <v>1</v>
      </c>
      <c r="Q26" s="272">
        <f t="shared" si="7"/>
        <v>3.1000000000000005</v>
      </c>
      <c r="R26" s="272">
        <f t="shared" si="8"/>
        <v>2.4</v>
      </c>
      <c r="S26" s="272"/>
      <c r="T26" s="272">
        <f t="shared" si="11"/>
        <v>0.8</v>
      </c>
      <c r="U26" s="270">
        <f t="shared" si="10"/>
        <v>2330</v>
      </c>
      <c r="V26" s="270">
        <f t="shared" si="12"/>
        <v>2011</v>
      </c>
      <c r="W26" s="277">
        <v>985</v>
      </c>
      <c r="X26" s="277">
        <v>1026</v>
      </c>
      <c r="Y26" s="277"/>
      <c r="Z26" s="277">
        <v>319</v>
      </c>
      <c r="AA26" s="270"/>
      <c r="AB26" s="292"/>
      <c r="AC26" s="312">
        <v>42.85</v>
      </c>
      <c r="AD26" s="292">
        <v>13619</v>
      </c>
      <c r="AE26" s="306">
        <f t="shared" si="2"/>
        <v>985.2718786464412</v>
      </c>
      <c r="AF26" s="312">
        <v>31.84</v>
      </c>
      <c r="AG26" s="295">
        <v>13619</v>
      </c>
      <c r="AH26" s="309">
        <f t="shared" si="3"/>
        <v>1026.5577889447236</v>
      </c>
      <c r="AI26" s="282">
        <v>1.128</v>
      </c>
      <c r="AJ26" s="282">
        <v>6133</v>
      </c>
      <c r="AK26" s="316">
        <f t="shared" si="4"/>
        <v>0</v>
      </c>
      <c r="AL26" s="282">
        <v>15.895</v>
      </c>
      <c r="AM26" s="282">
        <f t="shared" si="5"/>
        <v>6341</v>
      </c>
      <c r="AN26" s="316">
        <f t="shared" si="6"/>
        <v>319.144385026738</v>
      </c>
    </row>
    <row r="27" spans="1:40" ht="24" customHeight="1">
      <c r="A27" s="313">
        <v>10</v>
      </c>
      <c r="B27" s="278" t="s">
        <v>45</v>
      </c>
      <c r="C27" s="275">
        <f>1.79+1.73</f>
        <v>3.52</v>
      </c>
      <c r="D27" s="275">
        <v>0.4</v>
      </c>
      <c r="E27" s="314">
        <f>375+364</f>
        <v>739</v>
      </c>
      <c r="F27" s="272">
        <v>0.4</v>
      </c>
      <c r="G27" s="272"/>
      <c r="H27" s="272"/>
      <c r="I27" s="271">
        <v>12</v>
      </c>
      <c r="J27" s="317">
        <v>1.15</v>
      </c>
      <c r="K27" s="274">
        <v>1</v>
      </c>
      <c r="L27" s="272">
        <v>0.1</v>
      </c>
      <c r="M27" s="270">
        <v>213</v>
      </c>
      <c r="N27" s="317">
        <v>0.6</v>
      </c>
      <c r="O27" s="304">
        <v>49526</v>
      </c>
      <c r="P27" s="317">
        <v>1.6</v>
      </c>
      <c r="Q27" s="272">
        <f t="shared" si="7"/>
        <v>3.1000000000000005</v>
      </c>
      <c r="R27" s="272">
        <f t="shared" si="8"/>
        <v>2.55</v>
      </c>
      <c r="S27" s="272"/>
      <c r="T27" s="272">
        <f t="shared" si="11"/>
        <v>1.2800000000000002</v>
      </c>
      <c r="U27" s="270">
        <f t="shared" si="10"/>
        <v>2585</v>
      </c>
      <c r="V27" s="270">
        <f t="shared" si="12"/>
        <v>2075</v>
      </c>
      <c r="W27" s="277">
        <v>985</v>
      </c>
      <c r="X27" s="277">
        <v>1090</v>
      </c>
      <c r="Y27" s="277"/>
      <c r="Z27" s="277">
        <v>510</v>
      </c>
      <c r="AA27" s="270"/>
      <c r="AB27" s="292"/>
      <c r="AC27" s="312">
        <v>42.85</v>
      </c>
      <c r="AD27" s="292">
        <v>13619</v>
      </c>
      <c r="AE27" s="306">
        <f t="shared" si="2"/>
        <v>985.2718786464412</v>
      </c>
      <c r="AF27" s="312">
        <v>31.84</v>
      </c>
      <c r="AG27" s="295">
        <v>13619</v>
      </c>
      <c r="AH27" s="309">
        <f t="shared" si="3"/>
        <v>1090.7176507537688</v>
      </c>
      <c r="AI27" s="282">
        <v>1.128</v>
      </c>
      <c r="AJ27" s="282">
        <v>6133</v>
      </c>
      <c r="AK27" s="316">
        <f t="shared" si="4"/>
        <v>0</v>
      </c>
      <c r="AL27" s="282">
        <v>15.895</v>
      </c>
      <c r="AM27" s="282">
        <f t="shared" si="5"/>
        <v>6341</v>
      </c>
      <c r="AN27" s="316">
        <f t="shared" si="6"/>
        <v>510.63101604278086</v>
      </c>
    </row>
    <row r="28" spans="1:39" s="329" customFormat="1" ht="24" customHeight="1">
      <c r="A28" s="320"/>
      <c r="B28" s="321"/>
      <c r="C28" s="322"/>
      <c r="D28" s="322"/>
      <c r="E28" s="323"/>
      <c r="F28" s="324"/>
      <c r="G28" s="324"/>
      <c r="H28" s="324"/>
      <c r="I28" s="324"/>
      <c r="J28" s="324"/>
      <c r="K28" s="322"/>
      <c r="L28" s="324"/>
      <c r="M28" s="325"/>
      <c r="N28" s="324"/>
      <c r="O28" s="324"/>
      <c r="P28" s="324"/>
      <c r="Q28" s="324"/>
      <c r="R28" s="324"/>
      <c r="S28" s="324"/>
      <c r="T28" s="324"/>
      <c r="U28" s="324"/>
      <c r="V28" s="326"/>
      <c r="W28" s="279"/>
      <c r="X28" s="279"/>
      <c r="Y28" s="279"/>
      <c r="Z28" s="279"/>
      <c r="AA28" s="327"/>
      <c r="AB28" s="292"/>
      <c r="AC28" s="292"/>
      <c r="AD28" s="292"/>
      <c r="AE28" s="292"/>
      <c r="AF28" s="328"/>
      <c r="AG28" s="295"/>
      <c r="AH28" s="295"/>
      <c r="AI28" s="282"/>
      <c r="AJ28" s="282"/>
      <c r="AK28" s="282"/>
      <c r="AL28" s="282"/>
      <c r="AM28" s="282"/>
    </row>
    <row r="29" spans="1:27" ht="34.5" customHeight="1">
      <c r="A29" s="649" t="s">
        <v>87</v>
      </c>
      <c r="B29" s="649"/>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row>
    <row r="30" spans="1:27" s="281" customFormat="1" ht="37.5" customHeight="1">
      <c r="A30" s="650" t="s">
        <v>107</v>
      </c>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row>
    <row r="31" spans="1:27" s="281" customFormat="1" ht="23.25" customHeight="1">
      <c r="A31" s="650" t="s">
        <v>108</v>
      </c>
      <c r="B31" s="650"/>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row>
    <row r="32" spans="1:27" ht="30.75" customHeight="1">
      <c r="A32" s="647"/>
      <c r="B32" s="647"/>
      <c r="C32" s="647"/>
      <c r="D32" s="647"/>
      <c r="E32" s="647"/>
      <c r="F32" s="647"/>
      <c r="G32" s="647"/>
      <c r="H32" s="647"/>
      <c r="I32" s="647"/>
      <c r="J32" s="647"/>
      <c r="K32" s="647"/>
      <c r="L32" s="647"/>
      <c r="M32" s="647"/>
      <c r="N32" s="647"/>
      <c r="O32" s="647"/>
      <c r="P32" s="647"/>
      <c r="Q32" s="647"/>
      <c r="R32" s="647"/>
      <c r="S32" s="647"/>
      <c r="T32" s="647"/>
      <c r="U32" s="647"/>
      <c r="V32" s="647"/>
      <c r="W32" s="647"/>
      <c r="X32" s="647"/>
      <c r="Y32" s="647"/>
      <c r="Z32" s="647"/>
      <c r="AA32" s="647"/>
    </row>
  </sheetData>
  <sheetProtection/>
  <mergeCells count="47">
    <mergeCell ref="A32:AA32"/>
    <mergeCell ref="AC9:AH9"/>
    <mergeCell ref="AI9:AK9"/>
    <mergeCell ref="AL9:AN9"/>
    <mergeCell ref="A29:AA29"/>
    <mergeCell ref="A30:AA30"/>
    <mergeCell ref="A31:AA31"/>
    <mergeCell ref="N8:N9"/>
    <mergeCell ref="O8:O9"/>
    <mergeCell ref="P8:P9"/>
    <mergeCell ref="V8:V9"/>
    <mergeCell ref="Z7:Z9"/>
    <mergeCell ref="C8:C9"/>
    <mergeCell ref="D8:D9"/>
    <mergeCell ref="E8:E9"/>
    <mergeCell ref="F8:F9"/>
    <mergeCell ref="G8:G9"/>
    <mergeCell ref="H8:H9"/>
    <mergeCell ref="K8:K9"/>
    <mergeCell ref="L8:L9"/>
    <mergeCell ref="M8:M9"/>
    <mergeCell ref="Q7:R7"/>
    <mergeCell ref="S7:S9"/>
    <mergeCell ref="T7:T9"/>
    <mergeCell ref="O7:P7"/>
    <mergeCell ref="Q8:Q9"/>
    <mergeCell ref="R8:R9"/>
    <mergeCell ref="U7:U9"/>
    <mergeCell ref="V7:X7"/>
    <mergeCell ref="Y7:Y9"/>
    <mergeCell ref="W8:W9"/>
    <mergeCell ref="X8:X9"/>
    <mergeCell ref="E7:F7"/>
    <mergeCell ref="G7:H7"/>
    <mergeCell ref="I7:J7"/>
    <mergeCell ref="K7:L7"/>
    <mergeCell ref="M7:N7"/>
    <mergeCell ref="Y1:AA1"/>
    <mergeCell ref="A2:AA2"/>
    <mergeCell ref="A3:AA3"/>
    <mergeCell ref="A4:AA4"/>
    <mergeCell ref="A6:A9"/>
    <mergeCell ref="B6:B9"/>
    <mergeCell ref="C6:T6"/>
    <mergeCell ref="U6:Z6"/>
    <mergeCell ref="AA6:AA9"/>
    <mergeCell ref="C7:D7"/>
  </mergeCells>
  <printOptions/>
  <pageMargins left="0" right="0"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TTH</dc:creator>
  <cp:keywords/>
  <dc:description/>
  <cp:lastModifiedBy>Tran Trung Kien</cp:lastModifiedBy>
  <cp:lastPrinted>2023-02-03T01:26:25Z</cp:lastPrinted>
  <dcterms:created xsi:type="dcterms:W3CDTF">2022-06-16T05:36:14Z</dcterms:created>
  <dcterms:modified xsi:type="dcterms:W3CDTF">2023-02-03T08:56:35Z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