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50" windowHeight="8115" tabRatio="932" activeTab="17"/>
  </bookViews>
  <sheets>
    <sheet name="PL15" sheetId="1" r:id="rId1"/>
    <sheet name="PL16" sheetId="2" r:id="rId2"/>
    <sheet name="PL17" sheetId="3" r:id="rId3"/>
    <sheet name="PL30" sheetId="4" r:id="rId4"/>
    <sheet name="PL31-NSX" sheetId="5" r:id="rId5"/>
    <sheet name="PL32-NSX" sheetId="6" r:id="rId6"/>
    <sheet name="PL33" sheetId="7" r:id="rId7"/>
    <sheet name="PL34" sheetId="8" r:id="rId8"/>
    <sheet name="PL35" sheetId="9" r:id="rId9"/>
    <sheet name="PL36" sheetId="10" r:id="rId10"/>
    <sheet name="PL37" sheetId="11" r:id="rId11"/>
    <sheet name="PL38" sheetId="12" r:id="rId12"/>
    <sheet name="PL39-NSX" sheetId="13" r:id="rId13"/>
    <sheet name="PL41-NSX" sheetId="14" r:id="rId14"/>
    <sheet name="PL42-NSX" sheetId="15" r:id="rId15"/>
    <sheet name="PL44-NSX" sheetId="16" r:id="rId16"/>
    <sheet name="PL45-Quỹ" sheetId="17" r:id="rId17"/>
    <sheet name="PL47-Thu SN" sheetId="18" r:id="rId18"/>
  </sheets>
  <externalReferences>
    <externalReference r:id="rId21"/>
    <externalReference r:id="rId22"/>
    <externalReference r:id="rId23"/>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 localSheetId="2">'[2]Dt 2001'!#REF!</definedName>
    <definedName name="ANQQH" localSheetId="10">'[2]Dt 2001'!#REF!</definedName>
    <definedName name="ANQQH">'[2]Dt 2001'!#REF!</definedName>
    <definedName name="ANSNN" localSheetId="0">'[2]Dt 2001'!#REF!</definedName>
    <definedName name="ANSNN" localSheetId="2">'[2]Dt 2001'!#REF!</definedName>
    <definedName name="ANSNN" localSheetId="10">'[2]Dt 2001'!#REF!</definedName>
    <definedName name="ANSNN">'[2]Dt 2001'!#REF!</definedName>
    <definedName name="ANSNNxnk" localSheetId="0">'[2]Dt 2001'!#REF!</definedName>
    <definedName name="ANSNNxnk" localSheetId="2">'[2]Dt 2001'!#REF!</definedName>
    <definedName name="ANSNNxnk" localSheetId="10">'[2]Dt 2001'!#REF!</definedName>
    <definedName name="ANSNNxnk">'[2]Dt 2001'!#REF!</definedName>
    <definedName name="Anguon" localSheetId="0">'[2]Dt 2001'!#REF!</definedName>
    <definedName name="Anguon" localSheetId="2">'[2]Dt 2001'!#REF!</definedName>
    <definedName name="Anguon" localSheetId="10">'[2]Dt 2001'!#REF!</definedName>
    <definedName name="Anguon">'[2]Dt 2001'!#REF!</definedName>
    <definedName name="APC" localSheetId="0">'[2]Dt 2001'!#REF!</definedName>
    <definedName name="APC" localSheetId="2">'[2]Dt 2001'!#REF!</definedName>
    <definedName name="APC" localSheetId="10">'[2]Dt 2001'!#REF!</definedName>
    <definedName name="APC">'[2]Dt 2001'!#REF!</definedName>
    <definedName name="ATW">#REF!</definedName>
    <definedName name="Can_doi">#REF!</definedName>
    <definedName name="chuong_phuluc_31" localSheetId="4">'PL31-NSX'!$N$1</definedName>
    <definedName name="chuong_phuluc_31_name" localSheetId="4">'PL31-NSX'!$A$2</definedName>
    <definedName name="chuong_phuluc_43" localSheetId="15">'PL44-NSX'!$A$1</definedName>
    <definedName name="chuong_phuluc_43_name" localSheetId="15">'PL44-NSX'!$A$3</definedName>
    <definedName name="chuong_phuluc_44" localSheetId="15">'PL44-NSX'!$A$1</definedName>
    <definedName name="chuong_phuluc_44_name" localSheetId="15">'PL44-NSX'!$A$2</definedName>
    <definedName name="chuong_phuluc_44_name_name" localSheetId="15">'PL44-NSX'!$A$3</definedName>
    <definedName name="DNNN">#REF!</definedName>
    <definedName name="Khac">#REF!</definedName>
    <definedName name="Khong_can_doi">#REF!</definedName>
    <definedName name="NQD">#REF!</definedName>
    <definedName name="NQQH" localSheetId="0">'[2]Dt 2001'!#REF!</definedName>
    <definedName name="NQQH" localSheetId="2">'[2]Dt 2001'!#REF!</definedName>
    <definedName name="NQQH" localSheetId="10">'[2]Dt 2001'!#REF!</definedName>
    <definedName name="NQQH">'[2]Dt 2001'!#REF!</definedName>
    <definedName name="NSNN" localSheetId="0">'[2]Dt 2001'!#REF!</definedName>
    <definedName name="NSNN" localSheetId="2">'[2]Dt 2001'!#REF!</definedName>
    <definedName name="NSNN" localSheetId="10">'[2]Dt 2001'!#REF!</definedName>
    <definedName name="NSNN">'[2]Dt 2001'!#REF!</definedName>
    <definedName name="PC" localSheetId="0">'[2]Dt 2001'!#REF!</definedName>
    <definedName name="PC" localSheetId="2">'[2]Dt 2001'!#REF!</definedName>
    <definedName name="PC" localSheetId="10">'[2]Dt 2001'!#REF!</definedName>
    <definedName name="PC">'[2]Dt 2001'!#REF!</definedName>
    <definedName name="_xlnm.Print_Area" localSheetId="0">'PL15'!$A$1:$G$30</definedName>
    <definedName name="_xlnm.Print_Area" localSheetId="1">'PL16'!$A$1:$H$39</definedName>
    <definedName name="_xlnm.Print_Area" localSheetId="2">'PL17'!$A$1:$F$53</definedName>
    <definedName name="_xlnm.Print_Area" localSheetId="3">'PL30'!$A$1:$G$37</definedName>
    <definedName name="_xlnm.Print_Area" localSheetId="5">'PL32-NSX'!$A$1:$J$28</definedName>
    <definedName name="_xlnm.Print_Area" localSheetId="6">'PL33'!$A$1:$E$53</definedName>
    <definedName name="_xlnm.Print_Area" localSheetId="7">'PL34'!$A$1:$C$36</definedName>
    <definedName name="_xlnm.Print_Area" localSheetId="8">'PL35'!$A$1:$N$39</definedName>
    <definedName name="_xlnm.Print_Area" localSheetId="9">'PL36'!$A$1:$S$15</definedName>
    <definedName name="_xlnm.Print_Area" localSheetId="10">'PL37'!$A$1:$S$49</definedName>
    <definedName name="_xlnm.Print_Area" localSheetId="11">'PL38'!$A$1:$Z$44</definedName>
    <definedName name="_xlnm.Print_Area" localSheetId="12">'PL39-NSX'!$A$1:$K$31</definedName>
    <definedName name="_xlnm.Print_Area" localSheetId="13">'PL41-NSX'!$A$1:$T$36</definedName>
    <definedName name="_xlnm.Print_Area" localSheetId="14">'PL42-NSX'!$A$1:$F$29</definedName>
    <definedName name="_xlnm.Print_Area" localSheetId="15">'PL44-NSX'!$A$1:$Q$27</definedName>
    <definedName name="_xlnm.Print_Area" localSheetId="16">'PL45-Quỹ'!$A$1:$M$17</definedName>
    <definedName name="_xlnm.Print_Area" localSheetId="17">'PL47-Thu SN'!$A$1:$E$15</definedName>
    <definedName name="PRINT_AREA_MI" localSheetId="0">#REF!</definedName>
    <definedName name="PRINT_AREA_MI" localSheetId="2">#REF!</definedName>
    <definedName name="PRINT_AREA_MI" localSheetId="10">#REF!</definedName>
    <definedName name="PRINT_AREA_MI">#REF!</definedName>
    <definedName name="_xlnm.Print_Titles" localSheetId="0">'PL15'!$5:$7</definedName>
    <definedName name="_xlnm.Print_Titles" localSheetId="2">'PL17'!$5:$7</definedName>
    <definedName name="_xlnm.Print_Titles" localSheetId="3">'PL30'!$7:$9</definedName>
    <definedName name="_xlnm.Print_Titles" localSheetId="6">'PL33'!$6:$10</definedName>
    <definedName name="_xlnm.Print_Titles" localSheetId="8">'PL35'!$5:$8</definedName>
    <definedName name="_xlnm.Print_Titles" localSheetId="10">'PL37'!$6:$9</definedName>
    <definedName name="_xlnm.Print_Titles" localSheetId="11">'PL38'!$8:$12</definedName>
    <definedName name="Phan_cap">#REF!</definedName>
    <definedName name="Phi_le_phi">#REF!</definedName>
    <definedName name="TW">#REF!</definedName>
  </definedNames>
  <calcPr fullCalcOnLoad="1"/>
</workbook>
</file>

<file path=xl/comments11.xml><?xml version="1.0" encoding="utf-8"?>
<comments xmlns="http://schemas.openxmlformats.org/spreadsheetml/2006/main">
  <authors>
    <author>Nguyen</author>
  </authors>
  <commentList>
    <comment ref="U11" authorId="0">
      <text>
        <r>
          <rPr>
            <sz val="9"/>
            <rFont val="Tahoma"/>
            <family val="2"/>
          </rPr>
          <t xml:space="preserve">số dự phòng NS cấp huyện
</t>
        </r>
      </text>
    </comment>
  </commentList>
</comments>
</file>

<file path=xl/comments18.xml><?xml version="1.0" encoding="utf-8"?>
<comments xmlns="http://schemas.openxmlformats.org/spreadsheetml/2006/main">
  <authors>
    <author>DAT HONG COMPUTER</author>
  </authors>
  <commentList>
    <comment ref="D9" authorId="0">
      <text>
        <r>
          <rPr>
            <b/>
            <sz val="9"/>
            <rFont val="Tahoma"/>
            <family val="2"/>
          </rPr>
          <t xml:space="preserve"> - Lớp tiếng mông=&gt; NSNN đảm bảo
- chỉ còn 2 lớp trung cấp nghề (tiền quản lý, dọn vệ sinh)</t>
        </r>
      </text>
    </comment>
  </commentList>
</comments>
</file>

<file path=xl/comments2.xml><?xml version="1.0" encoding="utf-8"?>
<comments xmlns="http://schemas.openxmlformats.org/spreadsheetml/2006/main">
  <authors>
    <author>Admin</author>
  </authors>
  <commentList>
    <comment ref="D27" authorId="0">
      <text>
        <r>
          <rPr>
            <b/>
            <sz val="9"/>
            <rFont val="Tahoma"/>
            <family val="2"/>
          </rPr>
          <t>Admin:</t>
        </r>
        <r>
          <rPr>
            <sz val="9"/>
            <rFont val="Tahoma"/>
            <family val="2"/>
          </rPr>
          <t xml:space="preserve">
Trừ 100 tỉnh hưởng
</t>
        </r>
      </text>
    </comment>
    <comment ref="F27" authorId="0">
      <text>
        <r>
          <rPr>
            <b/>
            <sz val="9"/>
            <rFont val="Tahoma"/>
            <family val="2"/>
          </rPr>
          <t>Admin:</t>
        </r>
        <r>
          <rPr>
            <sz val="9"/>
            <rFont val="Tahoma"/>
            <family val="2"/>
          </rPr>
          <t xml:space="preserve">
Trừ 100 tr tỉnh hưởng
</t>
        </r>
      </text>
    </comment>
  </commentList>
</comments>
</file>

<file path=xl/comments4.xml><?xml version="1.0" encoding="utf-8"?>
<comments xmlns="http://schemas.openxmlformats.org/spreadsheetml/2006/main">
  <authors>
    <author>Tran Trung Kien</author>
  </authors>
  <commentList>
    <comment ref="D28" authorId="0">
      <text>
        <r>
          <rPr>
            <b/>
            <sz val="9"/>
            <rFont val="Tahoma"/>
            <family val="2"/>
          </rPr>
          <t>Tran Trung Kien:</t>
        </r>
        <r>
          <rPr>
            <sz val="9"/>
            <rFont val="Tahoma"/>
            <family val="2"/>
          </rPr>
          <t xml:space="preserve">
DUONG BAO SUA</t>
        </r>
      </text>
    </comment>
  </commentList>
</comments>
</file>

<file path=xl/comments5.xml><?xml version="1.0" encoding="utf-8"?>
<comments xmlns="http://schemas.openxmlformats.org/spreadsheetml/2006/main">
  <authors>
    <author>Admin</author>
  </authors>
  <commentList>
    <comment ref="D15" authorId="0">
      <text>
        <r>
          <rPr>
            <b/>
            <sz val="9"/>
            <rFont val="Tahoma"/>
            <family val="2"/>
          </rPr>
          <t>Admin:</t>
        </r>
        <r>
          <rPr>
            <sz val="9"/>
            <rFont val="Tahoma"/>
            <family val="2"/>
          </rPr>
          <t xml:space="preserve">
Ước cả huyện đạt 6,6 tỷ</t>
        </r>
      </text>
    </comment>
  </commentList>
</comments>
</file>

<file path=xl/sharedStrings.xml><?xml version="1.0" encoding="utf-8"?>
<sst xmlns="http://schemas.openxmlformats.org/spreadsheetml/2006/main" count="942" uniqueCount="385">
  <si>
    <t>Nguồn thu ngân sách</t>
  </si>
  <si>
    <t>Chi bổ sung cân đối ngân sách</t>
  </si>
  <si>
    <t>Nguồn  thu ngân sách</t>
  </si>
  <si>
    <t xml:space="preserve">Thu từ khu vực kinh tế ngoài quốc doanh </t>
  </si>
  <si>
    <t xml:space="preserve">Thu </t>
  </si>
  <si>
    <t>NSNN</t>
  </si>
  <si>
    <t>Nội dung</t>
  </si>
  <si>
    <t>Dự toán</t>
  </si>
  <si>
    <t>Tổng thu</t>
  </si>
  <si>
    <t>NSĐP</t>
  </si>
  <si>
    <t>A</t>
  </si>
  <si>
    <t>B</t>
  </si>
  <si>
    <t>Thu nội địa</t>
  </si>
  <si>
    <t>Lệ phí trước bạ</t>
  </si>
  <si>
    <t>Thuế sử dụng đất nông nghiệp</t>
  </si>
  <si>
    <t>Thuế sử dụng đất phi nông nghiệp</t>
  </si>
  <si>
    <t>Thuế thu nhập cá nhân</t>
  </si>
  <si>
    <t xml:space="preserve">Thu phí, lệ phí </t>
  </si>
  <si>
    <t>-</t>
  </si>
  <si>
    <t>Thu tiền sử dụng đất</t>
  </si>
  <si>
    <t>Thu khác ngân sách</t>
  </si>
  <si>
    <t>I</t>
  </si>
  <si>
    <t>II</t>
  </si>
  <si>
    <t>III</t>
  </si>
  <si>
    <t>IV</t>
  </si>
  <si>
    <t>Chi đầu tư phát triển</t>
  </si>
  <si>
    <t>Chi đầu tư từ nguồn thu tiền sử dụng đất</t>
  </si>
  <si>
    <t>Chi thường xuyên</t>
  </si>
  <si>
    <t>Chi đảm bảo xã hội</t>
  </si>
  <si>
    <t>Chi bổ sung quỹ dự trữ tài chính</t>
  </si>
  <si>
    <t>Dự phòng ngân sách</t>
  </si>
  <si>
    <t>TỔNG SỐ</t>
  </si>
  <si>
    <t>Tên đơn vị</t>
  </si>
  <si>
    <t>Trong đó</t>
  </si>
  <si>
    <t>Tiền cho thuê đất, thuê mặt nước</t>
  </si>
  <si>
    <t>Tiền cho thuê và tiền bán nhà ở thuộc sở hữu nhà nước</t>
  </si>
  <si>
    <t>Sự nghiệp khoa học và công nghệ</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</si>
  <si>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</si>
  <si>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</si>
  <si>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</si>
  <si>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</si>
  <si>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</si>
  <si>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</si>
  <si>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</si>
  <si>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khoản chi khác theo quy định của pháp luật</t>
  </si>
  <si>
    <t xml:space="preserve">Chi đầu tư phát triển </t>
  </si>
  <si>
    <t>Thu kết dư</t>
  </si>
  <si>
    <t>Tổng chi cân đối ngân sách địa phương</t>
  </si>
  <si>
    <t>Thu bổ sung từ ngân sách cấp trên</t>
  </si>
  <si>
    <t>Bao gồm</t>
  </si>
  <si>
    <t>1=2+3</t>
  </si>
  <si>
    <t xml:space="preserve"> Chi khoa học và công nghệ</t>
  </si>
  <si>
    <t>Chi ngân sách</t>
  </si>
  <si>
    <t>Thu ngân sách được hưởng theo phân cấp</t>
  </si>
  <si>
    <t>Chia ra</t>
  </si>
  <si>
    <t>Tổng    số</t>
  </si>
  <si>
    <t>Tổng thu NSNN trên địa bàn</t>
  </si>
  <si>
    <t>Thu NSĐP được hưởng theo phân cấp</t>
  </si>
  <si>
    <t>Thu NSĐP hưởng 100%</t>
  </si>
  <si>
    <t>Số bổ sung cân đối từ ngân sách cấp trên</t>
  </si>
  <si>
    <t>Tổng chi cân đối NSĐP</t>
  </si>
  <si>
    <t xml:space="preserve">DỰ TOÁN THU NGÂN SÁCH NHÀ NƯỚC TRÊN ĐỊA BÀN </t>
  </si>
  <si>
    <t>STT</t>
  </si>
  <si>
    <t>So sánh</t>
  </si>
  <si>
    <t>Chi chương trình mục tiêu</t>
  </si>
  <si>
    <t>5=3/1</t>
  </si>
  <si>
    <t>6=4/2</t>
  </si>
  <si>
    <t xml:space="preserve"> Chi giáo dục - đào tạo và dạy nghề</t>
  </si>
  <si>
    <t>Chi chuyển nguồn sang năm sau</t>
  </si>
  <si>
    <t>Thu phân chia</t>
  </si>
  <si>
    <t>Tổng  số</t>
  </si>
  <si>
    <t>Vốn  trong  nước</t>
  </si>
  <si>
    <t>Vốn  ngoài  nước</t>
  </si>
  <si>
    <t>8=9+10</t>
  </si>
  <si>
    <t>Thu chuyển nguồn từ năm trước chuyển sang</t>
  </si>
  <si>
    <t>Thu từ quỹ đất công ích, hoa lợi công sản khác</t>
  </si>
  <si>
    <t>Chi đầu tư cho các dự án</t>
  </si>
  <si>
    <t>Chi tạo nguồn, điều chỉnh tiền lương</t>
  </si>
  <si>
    <t>Chi bổ sung cho ngân sách cấp dưới</t>
  </si>
  <si>
    <t>Thu bổ sung cân đối ngân sách</t>
  </si>
  <si>
    <t>Số bổ sung thực hiện cải cách tiền lương</t>
  </si>
  <si>
    <t>Tổng số</t>
  </si>
  <si>
    <t>2=5+12</t>
  </si>
  <si>
    <t>3=8+15</t>
  </si>
  <si>
    <t>4=5+8</t>
  </si>
  <si>
    <t>5=6+7</t>
  </si>
  <si>
    <t>11=12+15</t>
  </si>
  <si>
    <t>12=13+14</t>
  </si>
  <si>
    <t>15=16+17</t>
  </si>
  <si>
    <t>Chi khoa học và công nghệ</t>
  </si>
  <si>
    <t>Thu bổ sung có mục tiêu</t>
  </si>
  <si>
    <t>Chi bổ sung có mục tiêu</t>
  </si>
  <si>
    <t>Đơn vị: Triệu đồng</t>
  </si>
  <si>
    <t>Tuyệt đối</t>
  </si>
  <si>
    <t>3=2-1</t>
  </si>
  <si>
    <t>4=2/1</t>
  </si>
  <si>
    <t>So sánh (%)</t>
  </si>
  <si>
    <t>Thu từ quỹ dự trữ tài chính</t>
  </si>
  <si>
    <t xml:space="preserve">Chi dự phòng ngân sách </t>
  </si>
  <si>
    <t>Chi chuyển nguồn sang ngân sách năm sau</t>
  </si>
  <si>
    <t>Chi giáo dục, đào tạo và dạy nghề</t>
  </si>
  <si>
    <t>Bổ sung có mục tiêu</t>
  </si>
  <si>
    <t>1 = 2+3+4</t>
  </si>
  <si>
    <t>TỔNG CHI NSĐP</t>
  </si>
  <si>
    <t>TỔNG NGUỒN THU NSĐP</t>
  </si>
  <si>
    <t>Chi các chương trình mục tiêu</t>
  </si>
  <si>
    <t>Chi các chương trình mục tiêu quốc gia</t>
  </si>
  <si>
    <t>TỔNG THU NSNN</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</si>
  <si>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</si>
  <si>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</si>
  <si>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</si>
  <si>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</si>
  <si>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</si>
  <si>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</si>
  <si>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</si>
  <si>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</si>
  <si>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</si>
  <si>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</si>
  <si>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</si>
  <si>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</si>
  <si>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</si>
  <si>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</si>
  <si>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</si>
  <si>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</si>
  <si>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</si>
  <si>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Chi giao thông</t>
  </si>
  <si>
    <t>Chi nông nghiệp, lâm nghiệp, thủy lợi, thủy sản</t>
  </si>
  <si>
    <t>Chi đầu tư từ nguồn vốn trong nước</t>
  </si>
  <si>
    <t xml:space="preserve">TỔNG CHI NSĐP </t>
  </si>
  <si>
    <t>CHI DỰ PHÒNG NGÂN SÁCH</t>
  </si>
  <si>
    <t>CHI TẠO NGUỒN, ĐIỀU CHỈNH TIỀN LƯƠNG</t>
  </si>
  <si>
    <t>Trong đó: Phần NSĐP được hưởng</t>
  </si>
  <si>
    <t>2=3+5</t>
  </si>
  <si>
    <t xml:space="preserve">DỰ TOÁN THU, CHI NGÂN SÁCH ĐỊA PHƯƠNG VÀ SỐ BỔ SUNG CÂN ĐỐI </t>
  </si>
  <si>
    <t>Bổ sung vốn đầu tư để thực hiện các chương trình mục tiêu, nhiệm vụ</t>
  </si>
  <si>
    <t>Bổ sung thực hiện các chương trình mục tiêu quốc gia</t>
  </si>
  <si>
    <t>3=6+7+8</t>
  </si>
  <si>
    <t>2=3+9+12+13+14</t>
  </si>
  <si>
    <t>15=16+17+18</t>
  </si>
  <si>
    <t>Đầu tư phát triển</t>
  </si>
  <si>
    <t>Kinh phí sự nghiệp</t>
  </si>
  <si>
    <t>Thu NSĐP hưởng từ các khoản thu phân chia</t>
  </si>
  <si>
    <t>Chi đầu tư phát triển khác</t>
  </si>
  <si>
    <t>Trong đó: Chia theo lĩnh vực</t>
  </si>
  <si>
    <t>Trong đó: Chia theo nguồn vốn</t>
  </si>
  <si>
    <t>Tương đối (%)</t>
  </si>
  <si>
    <t>CÂN ĐỐI NGUỒN THU, CHI DỰ TOÁN NGÂN SÁCH CẤP HUYỆN</t>
  </si>
  <si>
    <t>NGÂN SÁCH CẤP HUYỆN</t>
  </si>
  <si>
    <t>Chi thuộc nhiệm vụ của ngân sách cấp huyện</t>
  </si>
  <si>
    <t>NGÂN SÁCH XÃ</t>
  </si>
  <si>
    <t>Chi thuộc nhiệm vụ của ngân sách cấp xã</t>
  </si>
  <si>
    <t>I- Thu nội địa</t>
  </si>
  <si>
    <t>DỰ TOÁN CHI NGÂN SÁCH ĐỊA PHƯƠNG, CHI NGÂN SÁCH CẤP HUYỆN</t>
  </si>
  <si>
    <t>DỰ TOÁN CHI ĐẦU TƯ PHÁT TRIỂN CỦA NGÂN SÁCH CẤP HUYỆN</t>
  </si>
  <si>
    <t>DỰ TOÁN CHI THƯỜNG XUYÊN CỦA NGÂN SÁCH CẤP HUYỆN</t>
  </si>
  <si>
    <t>Ngân sách cấp huyện</t>
  </si>
  <si>
    <t>Ngân sách xã</t>
  </si>
  <si>
    <t>DỰ TOÁN BỔ SUNG CÓ MỤC TIÊU TỪ NGÂN SÁCH CẤP HUYỆN</t>
  </si>
  <si>
    <t>Chương trình mục tiêu quốc gia giảm nghèo bền vững</t>
  </si>
  <si>
    <t>Chương trình mục tiêu quốc gia XD nông thôn mới</t>
  </si>
  <si>
    <t xml:space="preserve">Tên đơn vị         </t>
  </si>
  <si>
    <t>Phòng Văn hóa-TT</t>
  </si>
  <si>
    <t>Văn phòng HĐND-UBND</t>
  </si>
  <si>
    <t>Huyện ủy</t>
  </si>
  <si>
    <t>Khối đoàn thể</t>
  </si>
  <si>
    <t>Phòng Nông nghiệp</t>
  </si>
  <si>
    <t>Phòng Tài chính-KH</t>
  </si>
  <si>
    <t>Phòng Tài nguyên MT</t>
  </si>
  <si>
    <t>Thanh tra</t>
  </si>
  <si>
    <t>Phòng Tư pháp</t>
  </si>
  <si>
    <t>Phòng Kinh tế và Hạ tầng</t>
  </si>
  <si>
    <t>Phòng Y tế</t>
  </si>
  <si>
    <t>Phòng Nội vụ</t>
  </si>
  <si>
    <t>Phòng LĐTBXH</t>
  </si>
  <si>
    <t>Phòng Dân tộc</t>
  </si>
  <si>
    <t>Phòng Giáo dục</t>
  </si>
  <si>
    <t>Nhà khách</t>
  </si>
  <si>
    <t>Công an huyện</t>
  </si>
  <si>
    <t>Ban chỉ huy QS huyện</t>
  </si>
  <si>
    <t>Ban quản lý dự án</t>
  </si>
  <si>
    <t>Các khoản chi từ ngân sách</t>
  </si>
  <si>
    <t>Chi thực hiện 1 số mục tiêu, nhiệm vụ khác</t>
  </si>
  <si>
    <t>Chương trình MTQG</t>
  </si>
  <si>
    <t>Một số mục tiêu NV khác</t>
  </si>
  <si>
    <t>Biểu số 38 - NĐ 31/2017/NĐ-CP</t>
  </si>
  <si>
    <t>Biểu số 39 - NĐ 31/2017/NĐ-CP</t>
  </si>
  <si>
    <t>Biểu số 37 - NĐ 31/2017/NĐ-CP</t>
  </si>
  <si>
    <t>Biểu số 36 - NĐ 31/2017/NĐ-CP</t>
  </si>
  <si>
    <t>Biểu số 35 - NĐ 31/2017/NĐ-CP</t>
  </si>
  <si>
    <t>Biểu số 34 - NĐ 31/2017/NĐ-CP</t>
  </si>
  <si>
    <t>Biểu số 33 - NĐ 31/2017/NĐ-CP</t>
  </si>
  <si>
    <t>Biểu số 32 - NĐ 31/2017/NĐ-CP</t>
  </si>
  <si>
    <t>Biểu số 30 - NĐ 31/2017/NĐ-CP</t>
  </si>
  <si>
    <t xml:space="preserve">CHI BS CHO NGÂN SÁCH CẤP DƯỚI </t>
  </si>
  <si>
    <t>Chi thường xuyên cân đối</t>
  </si>
  <si>
    <t>Chi thường xuyên từ CTMTQG</t>
  </si>
  <si>
    <t>Chi thường xuyên từ MT, NV khác</t>
  </si>
  <si>
    <t>CHI NGÂN SÁCH CẤP HUYỆN THEO LĨNH VỰC</t>
  </si>
  <si>
    <t xml:space="preserve">CHI BỔ SUNG CHO NGÂN SÁCH CẤP DƯỚI </t>
  </si>
  <si>
    <t>Bổ sung cân đối</t>
  </si>
  <si>
    <t>Chương trình giảm nghèo bền vững</t>
  </si>
  <si>
    <t>Chương trình xây dựng nông thôn mới</t>
  </si>
  <si>
    <t>Vốn đầu tư</t>
  </si>
  <si>
    <t>Vốn sự nghiệp</t>
  </si>
  <si>
    <t>Kinh phí thực hiện đảm bảo trật tự ATGT</t>
  </si>
  <si>
    <t>Hoạt động của các cơ quan quản lý hành chính, tổ chức chính trị</t>
  </si>
  <si>
    <t>Thuế giá trị gia tăng</t>
  </si>
  <si>
    <t>Thuế thu nhập doanh nghiệp</t>
  </si>
  <si>
    <t>Thuế tài nguyên</t>
  </si>
  <si>
    <t>Thu cấp tiền sử dụng đất</t>
  </si>
  <si>
    <t>Trong đó: + Trên địa bàn các phường và thị trấn</t>
  </si>
  <si>
    <t xml:space="preserve">                 + Trên địa bàn các xã</t>
  </si>
  <si>
    <t>Thu đấu giá đất</t>
  </si>
  <si>
    <t>Thu khác (cân đối ngân sách huyện)</t>
  </si>
  <si>
    <t>1.1</t>
  </si>
  <si>
    <t>1.2</t>
  </si>
  <si>
    <t>2.1</t>
  </si>
  <si>
    <t>2.2</t>
  </si>
  <si>
    <t>Chi các chương trình mục tiêu, nhiệm vụ khác</t>
  </si>
  <si>
    <t>Chương trình MT phát triển lâm nghiệp bền vững</t>
  </si>
  <si>
    <t>Biểu số 17 - NĐ 31/2017/NĐ-CP</t>
  </si>
  <si>
    <t>Biểu số 16 - NĐ 31/2017/NĐ-CP</t>
  </si>
  <si>
    <t>Thị trấn TG</t>
  </si>
  <si>
    <t xml:space="preserve">1. Lệ phí trước bạ </t>
  </si>
  <si>
    <t>2.Thuế sử dụng đất phi nông nghiệp</t>
  </si>
  <si>
    <t>3. Phí và lệ phí</t>
  </si>
  <si>
    <t>4.Thu từ tiền sử dụng đất</t>
  </si>
  <si>
    <t>5.Thu khác ngân sách</t>
  </si>
  <si>
    <t>6. Thu từ quỹ đất công ích và đất công</t>
  </si>
  <si>
    <t>Biểu số 41 - NĐ 31/2017/NĐ-CP</t>
  </si>
  <si>
    <t>Biểu số 42 - NĐ 31/2017/NĐ-CP</t>
  </si>
  <si>
    <t xml:space="preserve">So sánh </t>
  </si>
  <si>
    <t>Biểu số 15 - NĐ 31/2017/NĐ-CP</t>
  </si>
  <si>
    <t>Sự nghiệp kinh tế</t>
  </si>
  <si>
    <t>Trung tâm GDNN-GDTX</t>
  </si>
  <si>
    <t>Chi nộp trả ngân sách cấp trên</t>
  </si>
  <si>
    <t>Thu ngân sách trung ương, tỉnh hưởng</t>
  </si>
  <si>
    <t>Tổng chi ngân sách địa phương</t>
  </si>
  <si>
    <t>Bổ sung để thực hiện CCTL</t>
  </si>
  <si>
    <t>Trung tâm dịch vụ nông nghiệp</t>
  </si>
  <si>
    <t>Trung tâm quản lý đất đai</t>
  </si>
  <si>
    <t>Trung tâm văn hóa - TT - TH</t>
  </si>
  <si>
    <t>ĐT</t>
  </si>
  <si>
    <t>SN</t>
  </si>
  <si>
    <t>7=2+6</t>
  </si>
  <si>
    <t>Bổ sung vốn sự nghiệp thực hiện các chương trình mục tiêu, nhiệm vụ</t>
  </si>
  <si>
    <t>Sự nghiệp Giáo dục - Đào tạo và dạy nghề</t>
  </si>
  <si>
    <t>1=2+15</t>
  </si>
  <si>
    <t>Ngân sách địa phương</t>
  </si>
  <si>
    <t>Tổng số</t>
  </si>
  <si>
    <t>Thu từ dầu thô</t>
  </si>
  <si>
    <t>Thu từ hoạt động XNK</t>
  </si>
  <si>
    <t>Thu từ dầu thô</t>
  </si>
  <si>
    <t>Thu từ hoạt động XNK</t>
  </si>
  <si>
    <t>9=5/1</t>
  </si>
  <si>
    <t>10=6/2</t>
  </si>
  <si>
    <t>11=7/3</t>
  </si>
  <si>
    <t>12=8/4</t>
  </si>
  <si>
    <t>Biểu số 31 - NĐ 31/2017/NĐ-CP</t>
  </si>
  <si>
    <t xml:space="preserve">               (2) Thu NSNN trên địa bàn huyện, xã không có thu từ dầu thô, thu từ hoạt động xuất, nhập khẩu. Các chỉ tiêu cột 3, 4, 7, 8 chỉ ghi dòng tổng số.</t>
  </si>
  <si>
    <t>Tên đơn vị</t>
  </si>
  <si>
    <t>Tên đơn vị (1)</t>
  </si>
  <si>
    <t>Vốn trong nước</t>
  </si>
  <si>
    <t>Vốn ngoài nước</t>
  </si>
  <si>
    <t>4=5+6</t>
  </si>
  <si>
    <t>7=8+9</t>
  </si>
  <si>
    <t>Biểu số 44 - NĐ 31/2017/NĐ-CP</t>
  </si>
  <si>
    <t>Đơn vị: triệu đồng</t>
  </si>
  <si>
    <t>Tên Quỹ</t>
  </si>
  <si>
    <t>Dư nguồn đến ngày 31/12/
2021</t>
  </si>
  <si>
    <t>Ước thực hiện năm 2022</t>
  </si>
  <si>
    <t>Tổng nguồn vốn phát sinh trong năm</t>
  </si>
  <si>
    <t>Tổng sử dụng nguồn vốn trong năm</t>
  </si>
  <si>
    <t>Số dư nguồn đến ngày 31/12/
2022</t>
  </si>
  <si>
    <t>Số dư nguồn đến ngày 31/12/
2023</t>
  </si>
  <si>
    <t>Trong đó: Hỗ trợ từ NSĐP</t>
  </si>
  <si>
    <t>Cộng</t>
  </si>
  <si>
    <t>Quỹ khuyến học</t>
  </si>
  <si>
    <t>Quỹ phòng chống thiên tai</t>
  </si>
  <si>
    <t>Quỹ nhân đạo</t>
  </si>
  <si>
    <t>Quỹ Đền ơn đáp nghĩa</t>
  </si>
  <si>
    <t>Quỹ Bảo trợ trẻ em</t>
  </si>
  <si>
    <t>Quỹ vì người nghèo</t>
  </si>
  <si>
    <t>Quỹ hỗ trợ nông dân</t>
  </si>
  <si>
    <t xml:space="preserve">Quỹ cứu trợ </t>
  </si>
  <si>
    <t>Chênh lệch nguồn trong năm</t>
  </si>
  <si>
    <t>5=2-4</t>
  </si>
  <si>
    <t>6=1+2-4</t>
  </si>
  <si>
    <t>10=7-9</t>
  </si>
  <si>
    <t>11=6+7-9</t>
  </si>
  <si>
    <t>Biểu số 45 - NĐ 31/2017/NĐ-CP</t>
  </si>
  <si>
    <t>Đơn vị: Triệu đồng</t>
  </si>
  <si>
    <t>Sự nghiệp đào tạo và dạy nghề</t>
  </si>
  <si>
    <t>Trung tâm văn hóa - truyền thanh - truyền hình</t>
  </si>
  <si>
    <t>Sự nghiệp phát thanh truyền hình</t>
  </si>
  <si>
    <t>Nhà khách HĐND-UBND</t>
  </si>
  <si>
    <t>Biểu số 47 - NĐ 31/2017/NĐ-CP</t>
  </si>
  <si>
    <t>KẾ HOẠCH THU DỊCH VỤ CỦA ĐƠN VỊ SỰ NGHIỆP CÔNG 
NĂM 2023 (KHÔNG BAO GỒM NGUỒN NSNN)</t>
  </si>
  <si>
    <t>KẾ HOẠCH TÀI CHÍNH CỦA CÁC QUỸ TÀI CHÍNH NHÀ NƯỚC NGOÀI NGÂN SÁCH 
DO ĐỊA PHƯƠNG QUẢN LÝ NĂM 2023</t>
  </si>
  <si>
    <t>3=2/1</t>
  </si>
  <si>
    <t>Kế hoạch năm 2023</t>
  </si>
  <si>
    <t xml:space="preserve"> CÂN ĐỐI NGÂN SÁCH ĐỊA PHƯƠNG NĂM 2023</t>
  </si>
  <si>
    <t>(Kèm theo Nghị quyết số       /NQ-HĐND ngày       tháng 12 năm 2022 của HĐND huyện Tuần Giáo)</t>
  </si>
  <si>
    <t>DỰ TOÁN THU NGÂN SÁCH NHÀ NƯỚC THEO LĨNH VỰC NĂM 2023</t>
  </si>
  <si>
    <t>Dự toán năm 2023</t>
  </si>
  <si>
    <t>Thu từ kinh tế quốc doanh</t>
  </si>
  <si>
    <t>Thuế GTGT</t>
  </si>
  <si>
    <t>Thu tiền cấp quyền khai thác khoáng sản, tài nguyên nước</t>
  </si>
  <si>
    <t xml:space="preserve"> - Cơ quan Trung ương cấp phép</t>
  </si>
  <si>
    <t xml:space="preserve"> Trong đó: + Trung ương hưởng (70%)</t>
  </si>
  <si>
    <t xml:space="preserve">                  + Địa phương hưởng (30%)</t>
  </si>
  <si>
    <t xml:space="preserve"> - Cơ quan địa phương cấp phép</t>
  </si>
  <si>
    <t>TỪNG  XÃ THEO LĨNH VỰC NĂM 2023</t>
  </si>
  <si>
    <t>Xã Quài Tở</t>
  </si>
  <si>
    <t>Xã Mường Thín</t>
  </si>
  <si>
    <t>Xã Chiềng Sinh</t>
  </si>
  <si>
    <t>Xã Quài Cang</t>
  </si>
  <si>
    <t>Xã Mùn Chung</t>
  </si>
  <si>
    <t>Xã Mường Mùn</t>
  </si>
  <si>
    <t>Xã Phình Sáng</t>
  </si>
  <si>
    <t>Xã Chiềng Đông</t>
  </si>
  <si>
    <t>Xã Mường Khong</t>
  </si>
  <si>
    <t>Xã Rạng Đông</t>
  </si>
  <si>
    <t>Xã Nà Tòng</t>
  </si>
  <si>
    <t>Xã Ta Ma</t>
  </si>
  <si>
    <t>Xã Tỏa Tình</t>
  </si>
  <si>
    <t>Xã Pú Xi</t>
  </si>
  <si>
    <t>Xã Tênh Phông</t>
  </si>
  <si>
    <t>Xã Pú Nhung</t>
  </si>
  <si>
    <t>Xã Quài Nưa</t>
  </si>
  <si>
    <t>Xã Nà Sáy</t>
  </si>
  <si>
    <t>DỰ TOÁN THU NGÂN SÁCH NHÀ NƯỚC TRÊN ĐỊA BÀN TỪNG XÃ NĂM 2023</t>
  </si>
  <si>
    <t>TỪ NGÂN SÁCH CẤP TRÊN CHO NGÂN SÁCH CẤP DƯỚI NĂM 2023</t>
  </si>
  <si>
    <t>DỰ TOÁN CHI NGÂN SÁCH ĐỊA PHƯƠNG TỪNG XÃ NĂM 2023</t>
  </si>
  <si>
    <t>CHO NGÂN SÁCH TỪNG XÃ NĂM 2023</t>
  </si>
  <si>
    <t>DỰ TOÁN BỔ SUNG CÓ MỤC TIÊU VỐN SỰ NGHIỆP TỪ NGÂN SÁCH CẤP HUYỆN
 CHO NGÂN SÁCH TỪNG XÃ ĐỂ THỰC HIỆN CÁC CHẾ ĐỘ, NHIỆM VỤ VÀ 
CHÍNH SÁCH THEO QUY ĐỊNH NĂM 2023</t>
  </si>
  <si>
    <t>Chương trình MTQG Phát triển KT-XH vùng đồng bào dân tộc thiểu số và miền núi</t>
  </si>
  <si>
    <t>Chương trình MTQG Giảm nghèo bền vững</t>
  </si>
  <si>
    <t>Chương trình MTQG xây dựng Nông thôn mới</t>
  </si>
  <si>
    <t>Chương trình mục tiêu phát triển lâm nghiệp bền vững</t>
  </si>
  <si>
    <t>10=11+12</t>
  </si>
  <si>
    <t>13=14+15</t>
  </si>
  <si>
    <t>VÀ CHI NGÂN SÁCH XÃ THEO CƠ CẤU CHI NĂM 2023</t>
  </si>
  <si>
    <t>Dự toán năm 2022</t>
  </si>
  <si>
    <t>Chi giáo dục - đào tạo và dạy nghề</t>
  </si>
  <si>
    <t>Chi Hoạt động của các cơ quan QLHC, tổ chức chính trị</t>
  </si>
  <si>
    <t>Đầu tư XDCB vốn trong nước</t>
  </si>
  <si>
    <t>Đầu tư từ nguồn thu tiền sử dụng đất</t>
  </si>
  <si>
    <t>Hoạt động của các cơ quan quản lý hành chính, tổ chức CT</t>
  </si>
  <si>
    <t>Tiết kiệm 10% chi thường xuyên để thực hiện CCTL</t>
  </si>
  <si>
    <t>Chương trình MT tái cơ cấu kinh tế nông nghiệp và phòng chống giảm nhẹ thiên tai, ổn định đời sống dân cư</t>
  </si>
  <si>
    <t>3.1</t>
  </si>
  <si>
    <t>3.2</t>
  </si>
  <si>
    <t>Kinh phí thực hiện nhiệm vụ  đảm bảo trật tự an toàn giao thông</t>
  </si>
  <si>
    <t>VÀ NGÂN SÁCH XÃ NĂM 2023</t>
  </si>
  <si>
    <t>Thu từ ngân sách cấp dưới nộp lên</t>
  </si>
  <si>
    <t>C</t>
  </si>
  <si>
    <t xml:space="preserve">CHI CHUYỂN NGUỒN SANG NĂM SAU </t>
  </si>
  <si>
    <t xml:space="preserve"> - Vốn đầu tư</t>
  </si>
  <si>
    <t xml:space="preserve"> - Vốn sự nghiệp</t>
  </si>
  <si>
    <t>DỰ TOÁN CHI NGÂN SÁCH CẤP HUYỆN THEO LĨNH VỰC NĂM 2023</t>
  </si>
  <si>
    <t>DỰ TOÁN CHI NGÂN SÁCH CẤP HUYỆN CHO TỪNG CƠ QUAN, TỔ CHỨC THEO LĨNH VỰC NĂM 2023</t>
  </si>
  <si>
    <t>Trung tâm chính trị</t>
  </si>
  <si>
    <t>CHO TỪNG CƠ QUAN, TỔ CHỨC THEO LĨNH VỰC NĂM 2023</t>
  </si>
  <si>
    <t>Chi các hoạt động kinh tế khác</t>
  </si>
  <si>
    <t>Ban quản lý dự án CCT</t>
  </si>
  <si>
    <t>Chi phát thanh, truyền hình</t>
  </si>
  <si>
    <t>Phòng Nông nghiệp và PTNT</t>
  </si>
  <si>
    <t>Phòng Tài chính - Kế hoạch</t>
  </si>
  <si>
    <t>Phòng Tài nguyên và MT</t>
  </si>
  <si>
    <t>Phòng Lao động thương binh và xã hội</t>
  </si>
  <si>
    <t>Phòng Văn hóa và Thông tin</t>
  </si>
  <si>
    <t>Phòng Giáo dục và Đào tạo</t>
  </si>
  <si>
    <t>Trung tâm văn hóa truyền thanh truyền hình</t>
  </si>
  <si>
    <t>Ban chỉ huy quân sự huyện</t>
  </si>
  <si>
    <t>Ban quản lý dự án các công trình</t>
  </si>
  <si>
    <t>CHO  TỪNG CƠ QUAN, TỔ CHỨC THEO LĨNH VỰC NĂM 2023</t>
  </si>
  <si>
    <t>Khối đoàn thể (Hội Phụ Nữ)</t>
  </si>
  <si>
    <t>DỰ TOÁN CHI NGÂN SÁCH ĐỊA PHƯƠNG THEO CƠ CẤU CHI NĂM 2023</t>
  </si>
  <si>
    <r>
      <t>Ghi chú: </t>
    </r>
    <r>
      <rPr>
        <sz val="10"/>
        <rFont val="Times New Roman"/>
        <family val="1"/>
      </rPr>
      <t>(1) Thu ngân sách nhà nước trên địa bàn tỉnh chi tiết đến từng huyện; thu ngân sách nhà nước trên địa bàn huyện chi tiết đến từng xã.</t>
    </r>
  </si>
  <si>
    <r>
      <t>Ghi chú: </t>
    </r>
    <r>
      <rPr>
        <i/>
        <sz val="10"/>
        <rFont val="Times New Roman"/>
        <family val="1"/>
      </rPr>
      <t>(1) Chi bổ sung có mục tiêu từ ngân sách tỉnh chi tiết đến từng huyện; Chi bổ sung có mục tiêu từ ngân sách huyện chi tiết đến từng xã.</t>
    </r>
  </si>
  <si>
    <r>
      <t xml:space="preserve">Chi đầu tư từ nguồn thu XSKT </t>
    </r>
    <r>
      <rPr>
        <sz val="11"/>
        <rFont val="Times New Roman"/>
        <family val="1"/>
      </rPr>
      <t>(nếu có)</t>
    </r>
  </si>
  <si>
    <t>DỰ TOÁN CHI CHƯƠNG TRÌNH MỤC TIÊU QUỐC GIA NGÂN SÁCH CẤP HUYỆN VÀ NGÂN SÁCH XÃ NĂM 2023</t>
  </si>
  <si>
    <r>
      <t>Chi đầu tư phát triển</t>
    </r>
    <r>
      <rPr>
        <sz val="11"/>
        <color indexed="8"/>
        <rFont val="Times New Roman"/>
        <family val="1"/>
      </rPr>
      <t xml:space="preserve"> (Không kể chương trình MTQG)</t>
    </r>
  </si>
  <si>
    <r>
      <t>Chi thường xuyên</t>
    </r>
    <r>
      <rPr>
        <sz val="11"/>
        <color indexed="8"/>
        <rFont val="Times New Roman"/>
        <family val="1"/>
      </rPr>
      <t xml:space="preserve"> (Không kể chương trình MTQG)</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</si>
</sst>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0.000"/>
    <numFmt numFmtId="203" formatCode="#,##0.0000"/>
    <numFmt numFmtId="204" formatCode="_(* #,##0.0_);_(* \(#,##0.0\);_(* &quot;-&quot;??_);_(@_)"/>
    <numFmt numFmtId="205" formatCode="0.0"/>
    <numFmt numFmtId="206" formatCode="_(* #,##0.000_);_(* \(#,##0.000\);_(* &quot;-&quot;??_);_(@_)"/>
    <numFmt numFmtId="207" formatCode="_(* #,##0.000_);_(* \(#,##0.000\);_(* &quot;-&quot;???_);_(@_)"/>
    <numFmt numFmtId="208" formatCode="_(* #,##0.0_);_(* \(#,##0.0\);_(* &quot;-&quot;?_);_(@_)"/>
    <numFmt numFmtId="209" formatCode="_(* #,##0.0000_);_(* \(#,##0.0000\);_(* &quot;-&quot;??_);_(@_)"/>
    <numFmt numFmtId="210" formatCode="_(* #,##0.00000_);_(* \(#,##0.00000\);_(* &quot;-&quot;??_);_(@_)"/>
    <numFmt numFmtId="211" formatCode="_-* #,##0_-;\-* #,##0_-;_-* &quot;-&quot;??_-;_-@_-"/>
    <numFmt numFmtId="212" formatCode="_-* #,##0.0\ _₫_-;\-* #,##0.0\ _₫_-;_-* &quot;-&quot;?\ _₫_-;_-@_-"/>
  </numFmts>
  <fonts count="107">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sz val="8"/>
      <name val="Times New Roman"/>
      <family val="1"/>
    </font>
    <font>
      <sz val="10"/>
      <name val="Times New Roman"/>
      <family val="1"/>
    </font>
    <font>
      <b/>
      <sz val="12"/>
      <color indexed="8"/>
      <name val="Times New Roman"/>
      <family val="1"/>
    </font>
    <font>
      <sz val="12"/>
      <color indexed="8"/>
      <name val="Times New Roman"/>
      <family val="1"/>
    </font>
    <font>
      <b/>
      <sz val="14"/>
      <color indexed="8"/>
      <name val="Times New Roman"/>
      <family val="1"/>
    </font>
    <font>
      <i/>
      <sz val="12"/>
      <color indexed="8"/>
      <name val="Times New Roman"/>
      <family val="1"/>
    </font>
    <font>
      <sz val="10"/>
      <color indexed="8"/>
      <name val="Times New Roman"/>
      <family val="1"/>
    </font>
    <font>
      <b/>
      <i/>
      <sz val="12"/>
      <color indexed="8"/>
      <name val="Times New Roman"/>
      <family val="1"/>
    </font>
    <font>
      <b/>
      <sz val="10"/>
      <name val="Times New Roman"/>
      <family val="1"/>
    </font>
    <font>
      <sz val="11"/>
      <name val=".VnTime"/>
      <family val="2"/>
    </font>
    <font>
      <sz val="10"/>
      <name val="Arial"/>
      <family val="2"/>
    </font>
    <font>
      <b/>
      <sz val="9"/>
      <name val="Tahoma"/>
      <family val="2"/>
    </font>
    <font>
      <sz val="9"/>
      <name val="Tahoma"/>
      <family val="2"/>
    </font>
    <font>
      <sz val="13"/>
      <name val="VnTime"/>
      <family val="0"/>
    </font>
    <font>
      <sz val="9"/>
      <name val="Times New Roman"/>
      <family val="1"/>
    </font>
    <font>
      <i/>
      <sz val="11"/>
      <name val="Times New Roman"/>
      <family val="1"/>
    </font>
    <font>
      <sz val="7"/>
      <name val="Times New Roman"/>
      <family val="1"/>
    </font>
    <font>
      <i/>
      <sz val="10"/>
      <name val="Times New Roman"/>
      <family val="1"/>
    </font>
    <font>
      <b/>
      <i/>
      <sz val="10"/>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2"/>
      <name val="Times New Roman"/>
      <family val="1"/>
    </font>
    <font>
      <sz val="14"/>
      <color indexed="12"/>
      <name val="Times New Roman"/>
      <family val="1"/>
    </font>
    <font>
      <i/>
      <sz val="14"/>
      <color indexed="8"/>
      <name val="Times New Roman"/>
      <family val="1"/>
    </font>
    <font>
      <sz val="14"/>
      <color indexed="8"/>
      <name val="Times New Roman"/>
      <family val="1"/>
    </font>
    <font>
      <b/>
      <sz val="14"/>
      <color indexed="8"/>
      <name val="Times New Romanh"/>
      <family val="0"/>
    </font>
    <font>
      <b/>
      <sz val="12"/>
      <color indexed="8"/>
      <name val="Times New Roman h"/>
      <family val="0"/>
    </font>
    <font>
      <sz val="13"/>
      <color indexed="8"/>
      <name val="Times New Roman"/>
      <family val="1"/>
    </font>
    <font>
      <b/>
      <sz val="12"/>
      <color indexed="8"/>
      <name val="Times New Romanh"/>
      <family val="0"/>
    </font>
    <font>
      <b/>
      <sz val="13"/>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Times New Roman"/>
      <family val="1"/>
    </font>
    <font>
      <sz val="14"/>
      <color rgb="FF0000FF"/>
      <name val="Times New Roman"/>
      <family val="1"/>
    </font>
    <font>
      <b/>
      <sz val="12"/>
      <color theme="1"/>
      <name val="Times New Roman"/>
      <family val="1"/>
    </font>
    <font>
      <i/>
      <sz val="14"/>
      <color theme="1"/>
      <name val="Times New Roman"/>
      <family val="1"/>
    </font>
    <font>
      <sz val="14"/>
      <color theme="1"/>
      <name val="Times New Roman"/>
      <family val="1"/>
    </font>
    <font>
      <sz val="11"/>
      <color theme="1"/>
      <name val="Times New Roman"/>
      <family val="1"/>
    </font>
    <font>
      <b/>
      <sz val="14"/>
      <color theme="1"/>
      <name val="Times New Roman"/>
      <family val="1"/>
    </font>
    <font>
      <b/>
      <sz val="14"/>
      <color theme="1"/>
      <name val="Times New Romanh"/>
      <family val="0"/>
    </font>
    <font>
      <b/>
      <sz val="12"/>
      <color theme="1"/>
      <name val="Times New Roman h"/>
      <family val="0"/>
    </font>
    <font>
      <sz val="13"/>
      <color theme="1"/>
      <name val="Times New Roman"/>
      <family val="1"/>
    </font>
    <font>
      <b/>
      <sz val="12"/>
      <color theme="1"/>
      <name val="Times New Romanh"/>
      <family val="0"/>
    </font>
    <font>
      <b/>
      <sz val="13"/>
      <color theme="1"/>
      <name val="Times New Roman"/>
      <family val="1"/>
    </font>
    <font>
      <b/>
      <u val="single"/>
      <sz val="12"/>
      <color theme="1"/>
      <name val="Times New Roman"/>
      <family val="1"/>
    </font>
    <font>
      <i/>
      <sz val="12"/>
      <color theme="1"/>
      <name val="Times New Roman"/>
      <family val="1"/>
    </font>
    <font>
      <b/>
      <sz val="11"/>
      <color theme="1"/>
      <name val="Times New Roman"/>
      <family val="1"/>
    </font>
    <font>
      <i/>
      <sz val="11"/>
      <color theme="1"/>
      <name val="Times New Roman"/>
      <family val="1"/>
    </font>
    <font>
      <sz val="12"/>
      <color rgb="FFFF0000"/>
      <name val="Times New Roman"/>
      <family val="1"/>
    </font>
    <font>
      <b/>
      <sz val="8"/>
      <name val=".VnTime"/>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color indexed="63"/>
      </left>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1" fillId="0" borderId="0" applyFont="0" applyFill="0" applyBorder="0" applyAlignment="0" applyProtection="0"/>
    <xf numFmtId="199" fontId="18"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75" fillId="27" borderId="2" applyNumberFormat="0" applyAlignment="0" applyProtection="0"/>
    <xf numFmtId="0" fontId="76" fillId="0" borderId="0" applyNumberFormat="0" applyFill="0" applyBorder="0" applyAlignment="0" applyProtection="0"/>
    <xf numFmtId="0" fontId="5" fillId="0" borderId="0" applyNumberFormat="0" applyFill="0" applyBorder="0" applyAlignment="0" applyProtection="0"/>
    <xf numFmtId="0" fontId="77" fillId="28" borderId="0" applyNumberFormat="0" applyBorder="0" applyAlignment="0" applyProtection="0"/>
    <xf numFmtId="196" fontId="16"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31" fillId="0" borderId="0">
      <alignment/>
      <protection/>
    </xf>
    <xf numFmtId="0" fontId="71" fillId="0" borderId="0">
      <alignment/>
      <protection/>
    </xf>
    <xf numFmtId="0" fontId="18" fillId="0" borderId="0">
      <alignment/>
      <protection/>
    </xf>
    <xf numFmtId="0" fontId="0" fillId="0" borderId="0">
      <alignment/>
      <protection/>
    </xf>
    <xf numFmtId="0" fontId="0" fillId="0" borderId="0">
      <alignment/>
      <protection/>
    </xf>
    <xf numFmtId="0" fontId="22" fillId="0" borderId="0">
      <alignment/>
      <protection/>
    </xf>
    <xf numFmtId="0" fontId="84" fillId="0" borderId="0">
      <alignment/>
      <protection/>
    </xf>
    <xf numFmtId="0" fontId="17" fillId="0" borderId="0" applyProtection="0">
      <alignment/>
    </xf>
    <xf numFmtId="0" fontId="14" fillId="0" borderId="0">
      <alignment/>
      <protection/>
    </xf>
    <xf numFmtId="0" fontId="71" fillId="0" borderId="0">
      <alignment/>
      <protection/>
    </xf>
    <xf numFmtId="0" fontId="34" fillId="0" borderId="0">
      <alignment/>
      <protection/>
    </xf>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96">
    <xf numFmtId="0" fontId="0" fillId="0" borderId="0" xfId="0" applyAlignment="1">
      <alignment/>
    </xf>
    <xf numFmtId="0" fontId="7" fillId="0" borderId="0" xfId="0" applyFont="1" applyAlignment="1">
      <alignment/>
    </xf>
    <xf numFmtId="3" fontId="7" fillId="0" borderId="10" xfId="0" applyNumberFormat="1" applyFont="1" applyBorder="1" applyAlignment="1">
      <alignment/>
    </xf>
    <xf numFmtId="0" fontId="24" fillId="0" borderId="0" xfId="0" applyFont="1" applyAlignment="1">
      <alignment/>
    </xf>
    <xf numFmtId="0" fontId="26" fillId="0" borderId="0" xfId="0" applyFont="1" applyAlignment="1">
      <alignment/>
    </xf>
    <xf numFmtId="0" fontId="7" fillId="0" borderId="0" xfId="63" applyFont="1" applyFill="1">
      <alignment/>
      <protection/>
    </xf>
    <xf numFmtId="0" fontId="10" fillId="0" borderId="0" xfId="63" applyFont="1" applyFill="1">
      <alignment/>
      <protection/>
    </xf>
    <xf numFmtId="0" fontId="22" fillId="0" borderId="11" xfId="63" applyFont="1" applyFill="1" applyBorder="1" applyAlignment="1">
      <alignment horizontal="center" vertical="center"/>
      <protection/>
    </xf>
    <xf numFmtId="0" fontId="9" fillId="0" borderId="0" xfId="0" applyFont="1" applyFill="1" applyAlignment="1">
      <alignment/>
    </xf>
    <xf numFmtId="0" fontId="24" fillId="0" borderId="0" xfId="0" applyFont="1" applyFill="1" applyAlignment="1">
      <alignment/>
    </xf>
    <xf numFmtId="0" fontId="7" fillId="0" borderId="12" xfId="0" applyFont="1" applyBorder="1" applyAlignment="1">
      <alignment/>
    </xf>
    <xf numFmtId="0" fontId="12" fillId="0" borderId="0" xfId="63" applyFont="1" applyFill="1">
      <alignment/>
      <protection/>
    </xf>
    <xf numFmtId="0" fontId="6" fillId="32" borderId="0" xfId="0" applyFont="1" applyFill="1" applyAlignment="1">
      <alignment/>
    </xf>
    <xf numFmtId="0" fontId="7" fillId="32" borderId="0" xfId="69" applyFont="1" applyFill="1" applyAlignment="1">
      <alignment vertical="center" wrapText="1"/>
      <protection/>
    </xf>
    <xf numFmtId="0" fontId="29" fillId="32" borderId="0" xfId="69" applyFont="1" applyFill="1" applyAlignment="1">
      <alignment horizontal="center" vertical="center" wrapText="1"/>
      <protection/>
    </xf>
    <xf numFmtId="0" fontId="6" fillId="32" borderId="0" xfId="69" applyFont="1" applyFill="1" applyAlignment="1">
      <alignment horizontal="center" vertical="center" wrapText="1"/>
      <protection/>
    </xf>
    <xf numFmtId="0" fontId="7" fillId="32" borderId="11" xfId="69" applyFont="1" applyFill="1" applyBorder="1" applyAlignment="1">
      <alignment horizontal="center" vertical="center" wrapText="1"/>
      <protection/>
    </xf>
    <xf numFmtId="0" fontId="7" fillId="32" borderId="0" xfId="69" applyFont="1" applyFill="1" applyAlignment="1">
      <alignment horizontal="center" vertical="center" wrapText="1"/>
      <protection/>
    </xf>
    <xf numFmtId="0" fontId="6" fillId="32" borderId="0" xfId="69" applyFont="1" applyFill="1" applyAlignment="1">
      <alignment vertical="center"/>
      <protection/>
    </xf>
    <xf numFmtId="0" fontId="7" fillId="32" borderId="0" xfId="69" applyFont="1" applyFill="1" applyAlignment="1">
      <alignment vertical="center"/>
      <protection/>
    </xf>
    <xf numFmtId="4" fontId="7" fillId="32" borderId="0" xfId="69" applyNumberFormat="1" applyFont="1" applyFill="1" applyAlignment="1">
      <alignment vertical="center"/>
      <protection/>
    </xf>
    <xf numFmtId="0" fontId="23" fillId="0" borderId="0" xfId="0" applyFont="1" applyAlignment="1">
      <alignment/>
    </xf>
    <xf numFmtId="0" fontId="27" fillId="0" borderId="0" xfId="0" applyFont="1" applyAlignment="1">
      <alignment/>
    </xf>
    <xf numFmtId="0" fontId="23"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3" fontId="15" fillId="0" borderId="0" xfId="0" applyNumberFormat="1" applyFont="1" applyFill="1" applyAlignment="1">
      <alignment horizontal="center"/>
    </xf>
    <xf numFmtId="0" fontId="6" fillId="0" borderId="0" xfId="0" applyFont="1" applyFill="1" applyAlignment="1">
      <alignment horizontal="center"/>
    </xf>
    <xf numFmtId="0" fontId="29" fillId="32" borderId="0" xfId="0" applyFont="1" applyFill="1" applyAlignment="1">
      <alignment/>
    </xf>
    <xf numFmtId="0" fontId="7" fillId="32" borderId="0" xfId="0" applyFont="1" applyFill="1" applyAlignment="1">
      <alignment/>
    </xf>
    <xf numFmtId="0" fontId="6" fillId="32" borderId="11" xfId="0" applyFont="1" applyFill="1" applyBorder="1" applyAlignment="1">
      <alignment horizontal="center" vertical="center" wrapText="1"/>
    </xf>
    <xf numFmtId="0" fontId="12" fillId="32" borderId="0" xfId="0" applyFont="1" applyFill="1" applyAlignment="1">
      <alignment/>
    </xf>
    <xf numFmtId="0" fontId="20" fillId="32" borderId="11" xfId="0" applyFont="1" applyFill="1" applyBorder="1" applyAlignment="1">
      <alignment horizontal="center" vertical="center"/>
    </xf>
    <xf numFmtId="0" fontId="20" fillId="32" borderId="0" xfId="0" applyFont="1" applyFill="1" applyAlignment="1">
      <alignment vertical="center"/>
    </xf>
    <xf numFmtId="0" fontId="10" fillId="32" borderId="0" xfId="0" applyFont="1" applyFill="1" applyAlignment="1">
      <alignment/>
    </xf>
    <xf numFmtId="0" fontId="8" fillId="32" borderId="0" xfId="0" applyFont="1" applyFill="1" applyAlignment="1">
      <alignment/>
    </xf>
    <xf numFmtId="0" fontId="7" fillId="0" borderId="13" xfId="0" applyFont="1" applyBorder="1" applyAlignment="1">
      <alignment horizontal="center"/>
    </xf>
    <xf numFmtId="3" fontId="7" fillId="0" borderId="13" xfId="0" applyNumberFormat="1" applyFont="1" applyBorder="1" applyAlignment="1">
      <alignment/>
    </xf>
    <xf numFmtId="0" fontId="23" fillId="0" borderId="11" xfId="0" applyFont="1" applyBorder="1" applyAlignment="1">
      <alignment horizontal="center" vertical="center"/>
    </xf>
    <xf numFmtId="0" fontId="23" fillId="0" borderId="11" xfId="0" applyFont="1" applyBorder="1" applyAlignment="1" quotePrefix="1">
      <alignment horizontal="center" vertical="center"/>
    </xf>
    <xf numFmtId="0" fontId="23" fillId="0" borderId="0" xfId="0" applyFont="1" applyAlignment="1">
      <alignment vertical="center"/>
    </xf>
    <xf numFmtId="3" fontId="24" fillId="0" borderId="0" xfId="0" applyNumberFormat="1" applyFont="1" applyAlignment="1">
      <alignment/>
    </xf>
    <xf numFmtId="3" fontId="24" fillId="0" borderId="10" xfId="0" applyNumberFormat="1" applyFont="1" applyBorder="1" applyAlignment="1">
      <alignment/>
    </xf>
    <xf numFmtId="0" fontId="24" fillId="0" borderId="14" xfId="0" applyFont="1" applyBorder="1" applyAlignment="1">
      <alignment/>
    </xf>
    <xf numFmtId="3" fontId="24" fillId="0" borderId="14" xfId="0" applyNumberFormat="1" applyFont="1" applyBorder="1" applyAlignment="1">
      <alignment/>
    </xf>
    <xf numFmtId="0" fontId="23" fillId="0" borderId="15" xfId="0" applyFont="1" applyBorder="1" applyAlignment="1">
      <alignment horizontal="center"/>
    </xf>
    <xf numFmtId="0" fontId="23" fillId="0" borderId="16" xfId="0" applyFont="1" applyBorder="1" applyAlignment="1">
      <alignment/>
    </xf>
    <xf numFmtId="3" fontId="23" fillId="0" borderId="15" xfId="0" applyNumberFormat="1" applyFont="1" applyBorder="1" applyAlignment="1">
      <alignment/>
    </xf>
    <xf numFmtId="0" fontId="23" fillId="0" borderId="13" xfId="0" applyFont="1" applyBorder="1" applyAlignment="1">
      <alignment horizontal="center"/>
    </xf>
    <xf numFmtId="0" fontId="23" fillId="0" borderId="17" xfId="0" applyFont="1" applyBorder="1" applyAlignment="1">
      <alignment/>
    </xf>
    <xf numFmtId="3" fontId="23" fillId="0" borderId="13" xfId="0" applyNumberFormat="1" applyFont="1" applyBorder="1" applyAlignment="1">
      <alignment/>
    </xf>
    <xf numFmtId="0" fontId="24" fillId="0" borderId="13" xfId="0" applyFont="1" applyBorder="1" applyAlignment="1">
      <alignment horizontal="center"/>
    </xf>
    <xf numFmtId="0" fontId="24" fillId="0" borderId="12" xfId="0" applyFont="1" applyBorder="1" applyAlignment="1">
      <alignment/>
    </xf>
    <xf numFmtId="3" fontId="24" fillId="0" borderId="13" xfId="0" applyNumberFormat="1" applyFont="1" applyBorder="1" applyAlignment="1">
      <alignment/>
    </xf>
    <xf numFmtId="0" fontId="24" fillId="0" borderId="18" xfId="0" applyFont="1" applyBorder="1" applyAlignment="1">
      <alignment/>
    </xf>
    <xf numFmtId="0" fontId="6" fillId="32" borderId="11" xfId="0" applyFont="1" applyFill="1" applyBorder="1" applyAlignment="1">
      <alignment/>
    </xf>
    <xf numFmtId="3" fontId="7" fillId="32" borderId="0" xfId="0" applyNumberFormat="1" applyFont="1" applyFill="1" applyAlignment="1">
      <alignment/>
    </xf>
    <xf numFmtId="3" fontId="7" fillId="32" borderId="11" xfId="0" applyNumberFormat="1" applyFont="1" applyFill="1" applyBorder="1" applyAlignment="1">
      <alignment/>
    </xf>
    <xf numFmtId="0" fontId="0" fillId="32" borderId="0" xfId="0" applyFont="1" applyFill="1" applyAlignment="1">
      <alignment/>
    </xf>
    <xf numFmtId="0" fontId="20" fillId="32" borderId="11" xfId="0" applyFont="1" applyFill="1" applyBorder="1" applyAlignment="1">
      <alignment horizontal="center" vertical="center" wrapText="1"/>
    </xf>
    <xf numFmtId="0" fontId="30" fillId="32" borderId="0" xfId="0" applyFont="1" applyFill="1" applyAlignment="1">
      <alignment/>
    </xf>
    <xf numFmtId="0" fontId="7" fillId="0" borderId="11" xfId="0" applyFont="1" applyFill="1" applyBorder="1" applyAlignment="1">
      <alignment horizontal="center" vertical="center"/>
    </xf>
    <xf numFmtId="0" fontId="15" fillId="32" borderId="0" xfId="0" applyFont="1" applyFill="1" applyAlignment="1">
      <alignment horizontal="left"/>
    </xf>
    <xf numFmtId="0" fontId="6" fillId="32" borderId="0" xfId="0" applyFont="1" applyFill="1" applyAlignment="1">
      <alignment vertical="center"/>
    </xf>
    <xf numFmtId="0" fontId="15" fillId="32" borderId="0" xfId="0" applyFont="1" applyFill="1" applyAlignment="1">
      <alignment/>
    </xf>
    <xf numFmtId="3" fontId="15" fillId="32" borderId="0" xfId="0" applyNumberFormat="1" applyFont="1" applyFill="1" applyAlignment="1">
      <alignment/>
    </xf>
    <xf numFmtId="0" fontId="20" fillId="32" borderId="0" xfId="0" applyFont="1" applyFill="1" applyAlignment="1">
      <alignment/>
    </xf>
    <xf numFmtId="0" fontId="7" fillId="32" borderId="11" xfId="0" applyFont="1" applyFill="1" applyBorder="1" applyAlignment="1">
      <alignment horizontal="center" vertical="center"/>
    </xf>
    <xf numFmtId="0" fontId="7" fillId="32" borderId="0" xfId="0" applyFont="1" applyFill="1" applyAlignment="1">
      <alignment vertical="center"/>
    </xf>
    <xf numFmtId="3" fontId="7" fillId="32" borderId="11" xfId="41" applyNumberFormat="1" applyFont="1" applyFill="1" applyBorder="1" applyAlignment="1">
      <alignment horizontal="right"/>
    </xf>
    <xf numFmtId="0" fontId="13" fillId="32" borderId="0" xfId="0" applyFont="1" applyFill="1" applyAlignment="1">
      <alignment/>
    </xf>
    <xf numFmtId="0" fontId="20" fillId="32" borderId="11" xfId="0" applyFont="1" applyFill="1" applyBorder="1" applyAlignment="1" quotePrefix="1">
      <alignment horizontal="center" vertical="center"/>
    </xf>
    <xf numFmtId="0" fontId="7" fillId="32" borderId="0" xfId="63" applyFont="1" applyFill="1">
      <alignment/>
      <protection/>
    </xf>
    <xf numFmtId="0" fontId="12" fillId="32" borderId="0" xfId="63" applyFont="1" applyFill="1">
      <alignment/>
      <protection/>
    </xf>
    <xf numFmtId="0" fontId="6" fillId="32" borderId="0" xfId="67" applyNumberFormat="1" applyFont="1" applyFill="1" applyBorder="1" applyAlignment="1">
      <alignment vertical="center" wrapText="1"/>
    </xf>
    <xf numFmtId="0" fontId="10" fillId="32" borderId="0" xfId="63" applyFont="1" applyFill="1">
      <alignment/>
      <protection/>
    </xf>
    <xf numFmtId="0" fontId="20" fillId="32" borderId="11" xfId="63" applyFont="1" applyFill="1" applyBorder="1" applyAlignment="1">
      <alignment horizontal="center" vertical="center"/>
      <protection/>
    </xf>
    <xf numFmtId="0" fontId="20" fillId="32" borderId="11" xfId="63" applyFont="1" applyFill="1" applyBorder="1" applyAlignment="1">
      <alignment horizontal="center" vertical="center" wrapText="1"/>
      <protection/>
    </xf>
    <xf numFmtId="0" fontId="21" fillId="32" borderId="11" xfId="63" applyFont="1" applyFill="1" applyBorder="1" applyAlignment="1" quotePrefix="1">
      <alignment horizontal="center" vertical="center"/>
      <protection/>
    </xf>
    <xf numFmtId="0" fontId="20" fillId="32" borderId="0" xfId="63" applyFont="1" applyFill="1" applyAlignment="1">
      <alignment vertical="center"/>
      <protection/>
    </xf>
    <xf numFmtId="0" fontId="20" fillId="32" borderId="0" xfId="63" applyFont="1" applyFill="1" applyAlignment="1">
      <alignment/>
      <protection/>
    </xf>
    <xf numFmtId="0" fontId="13" fillId="32" borderId="0" xfId="63" applyFont="1" applyFill="1" applyAlignment="1">
      <alignment/>
      <protection/>
    </xf>
    <xf numFmtId="0" fontId="10" fillId="32" borderId="0" xfId="63" applyFont="1" applyFill="1" applyAlignment="1">
      <alignment wrapText="1"/>
      <protection/>
    </xf>
    <xf numFmtId="0" fontId="7" fillId="32" borderId="0" xfId="63" applyFont="1" applyFill="1" applyAlignment="1">
      <alignment wrapText="1"/>
      <protection/>
    </xf>
    <xf numFmtId="0" fontId="21" fillId="32" borderId="11" xfId="0" applyFont="1" applyFill="1" applyBorder="1" applyAlignment="1" quotePrefix="1">
      <alignment horizontal="center" vertical="center"/>
    </xf>
    <xf numFmtId="0" fontId="37" fillId="32" borderId="11" xfId="0" applyFont="1" applyFill="1" applyBorder="1" applyAlignment="1" quotePrefix="1">
      <alignment horizontal="center" vertical="center"/>
    </xf>
    <xf numFmtId="0" fontId="21" fillId="32" borderId="11" xfId="0" applyFont="1" applyFill="1" applyBorder="1" applyAlignment="1">
      <alignment horizontal="center" vertical="center"/>
    </xf>
    <xf numFmtId="0" fontId="29" fillId="32" borderId="0" xfId="0" applyFont="1" applyFill="1" applyAlignment="1">
      <alignment horizontal="right" vertical="center" wrapText="1"/>
    </xf>
    <xf numFmtId="0" fontId="38" fillId="32" borderId="0" xfId="0" applyFont="1" applyFill="1" applyAlignment="1">
      <alignment horizontal="right" vertical="center" wrapText="1"/>
    </xf>
    <xf numFmtId="3" fontId="6" fillId="32" borderId="11" xfId="41" applyNumberFormat="1" applyFont="1" applyFill="1" applyBorder="1" applyAlignment="1">
      <alignment horizontal="right" vertical="center" wrapText="1"/>
    </xf>
    <xf numFmtId="0" fontId="7" fillId="32" borderId="11" xfId="0" applyFont="1" applyFill="1" applyBorder="1" applyAlignment="1">
      <alignment horizontal="center" vertical="center" wrapText="1"/>
    </xf>
    <xf numFmtId="3" fontId="7" fillId="32" borderId="11" xfId="41" applyNumberFormat="1" applyFont="1" applyFill="1" applyBorder="1" applyAlignment="1">
      <alignment horizontal="right" vertical="center" wrapText="1"/>
    </xf>
    <xf numFmtId="0" fontId="6" fillId="32" borderId="11" xfId="0" applyFont="1" applyFill="1" applyBorder="1" applyAlignment="1">
      <alignment horizontal="center" vertical="center"/>
    </xf>
    <xf numFmtId="0" fontId="6" fillId="32" borderId="11" xfId="0" applyFont="1" applyFill="1" applyBorder="1" applyAlignment="1">
      <alignment horizontal="center" vertical="center" wrapText="1"/>
    </xf>
    <xf numFmtId="0" fontId="13" fillId="32" borderId="11" xfId="0" applyFont="1" applyFill="1" applyBorder="1" applyAlignment="1">
      <alignment horizontal="center" vertical="center"/>
    </xf>
    <xf numFmtId="0" fontId="6" fillId="32" borderId="19" xfId="69" applyFont="1" applyFill="1" applyBorder="1" applyAlignment="1">
      <alignment horizontal="center" vertical="center" wrapText="1"/>
      <protection/>
    </xf>
    <xf numFmtId="0" fontId="6" fillId="32" borderId="11" xfId="69" applyFont="1" applyFill="1" applyBorder="1" applyAlignment="1">
      <alignment horizontal="center" vertical="center"/>
      <protection/>
    </xf>
    <xf numFmtId="0" fontId="22" fillId="0" borderId="11" xfId="0" applyFont="1" applyFill="1" applyBorder="1" applyAlignment="1">
      <alignment horizontal="center" vertical="center" wrapText="1"/>
    </xf>
    <xf numFmtId="0" fontId="89" fillId="32" borderId="0" xfId="0" applyFont="1" applyFill="1" applyAlignment="1">
      <alignment horizontal="right"/>
    </xf>
    <xf numFmtId="0" fontId="20" fillId="32" borderId="0" xfId="0" applyFont="1" applyFill="1" applyAlignment="1">
      <alignment/>
    </xf>
    <xf numFmtId="0" fontId="6" fillId="32" borderId="0" xfId="0" applyFont="1" applyFill="1" applyAlignment="1">
      <alignment horizontal="centerContinuous" vertical="center"/>
    </xf>
    <xf numFmtId="0" fontId="7" fillId="32" borderId="0" xfId="0" applyFont="1" applyFill="1" applyAlignment="1">
      <alignment horizontal="right" vertical="center"/>
    </xf>
    <xf numFmtId="0" fontId="7" fillId="32" borderId="0" xfId="0" applyFont="1" applyFill="1" applyAlignment="1">
      <alignment horizontal="centerContinuous" vertical="center"/>
    </xf>
    <xf numFmtId="0" fontId="6" fillId="32" borderId="0" xfId="0" applyFont="1" applyFill="1" applyAlignment="1">
      <alignment horizontal="right" vertical="center"/>
    </xf>
    <xf numFmtId="0" fontId="9" fillId="32" borderId="0" xfId="0" applyFont="1" applyFill="1" applyAlignment="1">
      <alignment horizontal="left" vertical="center"/>
    </xf>
    <xf numFmtId="0" fontId="10" fillId="32" borderId="0" xfId="0" applyFont="1" applyFill="1" applyAlignment="1">
      <alignment vertical="center"/>
    </xf>
    <xf numFmtId="0" fontId="12" fillId="32" borderId="0" xfId="0" applyFont="1" applyFill="1" applyAlignment="1">
      <alignment vertical="center"/>
    </xf>
    <xf numFmtId="3" fontId="10" fillId="32" borderId="0" xfId="0" applyNumberFormat="1" applyFont="1" applyFill="1" applyAlignment="1">
      <alignment vertical="center"/>
    </xf>
    <xf numFmtId="0" fontId="8" fillId="32" borderId="0" xfId="0" applyFont="1" applyFill="1" applyAlignment="1">
      <alignment vertical="center"/>
    </xf>
    <xf numFmtId="0" fontId="9" fillId="32" borderId="0" xfId="0" applyFont="1" applyFill="1" applyAlignment="1">
      <alignment vertical="center"/>
    </xf>
    <xf numFmtId="3" fontId="90" fillId="32" borderId="0" xfId="0" applyNumberFormat="1" applyFont="1" applyFill="1" applyAlignment="1">
      <alignment vertical="center"/>
    </xf>
    <xf numFmtId="0" fontId="90" fillId="32" borderId="0" xfId="0" applyFont="1" applyFill="1" applyAlignment="1">
      <alignment vertical="center"/>
    </xf>
    <xf numFmtId="0" fontId="89" fillId="32" borderId="0" xfId="0" applyFont="1" applyFill="1" applyAlignment="1">
      <alignment vertical="center"/>
    </xf>
    <xf numFmtId="200" fontId="7" fillId="32" borderId="11" xfId="41" applyNumberFormat="1" applyFont="1" applyFill="1" applyBorder="1" applyAlignment="1">
      <alignment vertical="center"/>
    </xf>
    <xf numFmtId="3" fontId="7" fillId="32" borderId="11" xfId="0" applyNumberFormat="1" applyFont="1" applyFill="1" applyBorder="1" applyAlignment="1">
      <alignment vertical="center"/>
    </xf>
    <xf numFmtId="3" fontId="6" fillId="32" borderId="11" xfId="0" applyNumberFormat="1" applyFont="1" applyFill="1" applyBorder="1" applyAlignment="1">
      <alignment vertical="center"/>
    </xf>
    <xf numFmtId="0" fontId="7" fillId="32" borderId="11" xfId="0" applyFont="1" applyFill="1" applyBorder="1" applyAlignment="1">
      <alignment vertical="center"/>
    </xf>
    <xf numFmtId="0" fontId="7" fillId="32" borderId="11" xfId="0" applyFont="1" applyFill="1" applyBorder="1" applyAlignment="1" quotePrefix="1">
      <alignment horizontal="center" vertical="center"/>
    </xf>
    <xf numFmtId="0" fontId="6" fillId="32" borderId="11" xfId="0" applyFont="1" applyFill="1" applyBorder="1" applyAlignment="1">
      <alignment vertical="center"/>
    </xf>
    <xf numFmtId="0" fontId="8" fillId="32" borderId="0" xfId="0" applyFont="1" applyFill="1" applyAlignment="1">
      <alignment horizontal="right" vertical="center"/>
    </xf>
    <xf numFmtId="188" fontId="6" fillId="32" borderId="11" xfId="0" applyNumberFormat="1" applyFont="1" applyFill="1" applyBorder="1" applyAlignment="1">
      <alignment vertical="center"/>
    </xf>
    <xf numFmtId="188" fontId="7" fillId="32" borderId="11" xfId="0" applyNumberFormat="1" applyFont="1" applyFill="1" applyBorder="1" applyAlignment="1">
      <alignment vertical="center"/>
    </xf>
    <xf numFmtId="0" fontId="15" fillId="32" borderId="0" xfId="0" applyFont="1" applyFill="1" applyAlignment="1">
      <alignment horizontal="left" vertical="center"/>
    </xf>
    <xf numFmtId="0" fontId="15" fillId="32" borderId="0" xfId="0" applyFont="1" applyFill="1" applyAlignment="1">
      <alignment vertical="center"/>
    </xf>
    <xf numFmtId="3" fontId="7" fillId="32" borderId="0" xfId="0" applyNumberFormat="1" applyFont="1" applyFill="1" applyAlignment="1">
      <alignment vertical="center"/>
    </xf>
    <xf numFmtId="2" fontId="7" fillId="32" borderId="11" xfId="0" applyNumberFormat="1" applyFont="1" applyFill="1" applyBorder="1" applyAlignment="1">
      <alignment vertical="center"/>
    </xf>
    <xf numFmtId="9" fontId="6" fillId="32" borderId="11" xfId="73" applyFont="1" applyFill="1" applyBorder="1" applyAlignment="1">
      <alignment vertical="center"/>
    </xf>
    <xf numFmtId="3" fontId="7" fillId="32" borderId="11" xfId="0" applyNumberFormat="1" applyFont="1" applyFill="1" applyBorder="1" applyAlignment="1">
      <alignment horizontal="center" vertical="center"/>
    </xf>
    <xf numFmtId="9" fontId="7" fillId="32" borderId="11" xfId="73" applyFont="1" applyFill="1" applyBorder="1" applyAlignment="1">
      <alignment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Alignment="1">
      <alignment horizontal="left" vertical="center"/>
    </xf>
    <xf numFmtId="0" fontId="10"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200" fontId="6" fillId="0" borderId="11" xfId="41" applyNumberFormat="1" applyFont="1" applyFill="1" applyBorder="1" applyAlignment="1">
      <alignment vertical="center"/>
    </xf>
    <xf numFmtId="3" fontId="7" fillId="0" borderId="11" xfId="0" applyNumberFormat="1" applyFont="1" applyFill="1" applyBorder="1" applyAlignment="1">
      <alignment horizontal="center" vertical="center"/>
    </xf>
    <xf numFmtId="3" fontId="7" fillId="0" borderId="11" xfId="0" applyNumberFormat="1" applyFont="1" applyFill="1" applyBorder="1" applyAlignment="1">
      <alignment vertical="center"/>
    </xf>
    <xf numFmtId="200" fontId="7" fillId="0" borderId="11" xfId="41" applyNumberFormat="1" applyFont="1" applyFill="1" applyBorder="1" applyAlignment="1">
      <alignment vertical="center"/>
    </xf>
    <xf numFmtId="200" fontId="10" fillId="0" borderId="0" xfId="0" applyNumberFormat="1" applyFont="1" applyFill="1" applyAlignment="1">
      <alignment vertical="center"/>
    </xf>
    <xf numFmtId="0" fontId="11" fillId="32" borderId="0" xfId="0" applyFont="1" applyFill="1" applyAlignment="1">
      <alignment horizontal="centerContinuous" vertical="center"/>
    </xf>
    <xf numFmtId="0" fontId="12" fillId="32" borderId="0" xfId="0" applyFont="1" applyFill="1" applyAlignment="1">
      <alignment horizontal="centerContinuous" vertical="center"/>
    </xf>
    <xf numFmtId="0" fontId="13" fillId="32" borderId="0" xfId="0" applyFont="1" applyFill="1" applyAlignment="1">
      <alignment vertical="center"/>
    </xf>
    <xf numFmtId="0" fontId="13" fillId="32" borderId="0" xfId="0" applyFont="1" applyFill="1" applyAlignment="1">
      <alignment horizontal="right" vertical="center"/>
    </xf>
    <xf numFmtId="0" fontId="8" fillId="32" borderId="0" xfId="0" applyFont="1" applyFill="1" applyAlignment="1">
      <alignment horizontal="centerContinuous" vertical="center"/>
    </xf>
    <xf numFmtId="0" fontId="36" fillId="32" borderId="0" xfId="0" applyFont="1" applyFill="1" applyAlignment="1">
      <alignment horizontal="left" vertical="center"/>
    </xf>
    <xf numFmtId="0" fontId="36" fillId="32" borderId="0" xfId="0" applyFont="1" applyFill="1" applyBorder="1" applyAlignment="1">
      <alignment horizontal="center" vertical="center"/>
    </xf>
    <xf numFmtId="0" fontId="13" fillId="32" borderId="11" xfId="0" applyFont="1" applyFill="1" applyBorder="1" applyAlignment="1">
      <alignment vertical="center"/>
    </xf>
    <xf numFmtId="3" fontId="20" fillId="32" borderId="11" xfId="0" applyNumberFormat="1" applyFont="1" applyFill="1" applyBorder="1" applyAlignment="1">
      <alignment vertical="center"/>
    </xf>
    <xf numFmtId="0" fontId="23" fillId="0" borderId="0" xfId="0" applyFont="1" applyAlignment="1">
      <alignment horizontal="centerContinuous" vertical="center"/>
    </xf>
    <xf numFmtId="0" fontId="24" fillId="0" borderId="0" xfId="0" applyFont="1" applyAlignment="1">
      <alignment horizontal="centerContinuous" vertical="center"/>
    </xf>
    <xf numFmtId="0" fontId="24"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centerContinuous" vertical="center"/>
    </xf>
    <xf numFmtId="0" fontId="28" fillId="0" borderId="0" xfId="0" applyFont="1" applyAlignment="1" quotePrefix="1">
      <alignment horizontal="centerContinuous" vertical="center"/>
    </xf>
    <xf numFmtId="0" fontId="26" fillId="0" borderId="0" xfId="0" applyFont="1" applyAlignment="1">
      <alignment horizontal="left" vertical="center"/>
    </xf>
    <xf numFmtId="0" fontId="26" fillId="0" borderId="0" xfId="0" applyFont="1" applyBorder="1" applyAlignment="1">
      <alignment horizontal="center" vertical="center"/>
    </xf>
    <xf numFmtId="0" fontId="23" fillId="0" borderId="11" xfId="0" applyFont="1" applyBorder="1" applyAlignment="1">
      <alignment vertical="center"/>
    </xf>
    <xf numFmtId="3" fontId="23" fillId="0" borderId="11" xfId="0" applyNumberFormat="1"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3" fontId="24" fillId="0" borderId="11" xfId="0" applyNumberFormat="1" applyFont="1" applyBorder="1" applyAlignment="1">
      <alignment vertical="center"/>
    </xf>
    <xf numFmtId="0" fontId="10" fillId="32" borderId="0" xfId="0" applyFont="1" applyFill="1" applyAlignment="1">
      <alignment horizontal="centerContinuous" vertical="center"/>
    </xf>
    <xf numFmtId="0" fontId="15" fillId="32" borderId="0" xfId="0" applyFont="1" applyFill="1" applyAlignment="1">
      <alignment horizontal="centerContinuous" vertical="center"/>
    </xf>
    <xf numFmtId="0" fontId="6" fillId="32" borderId="0" xfId="0" applyFont="1" applyFill="1" applyAlignment="1" quotePrefix="1">
      <alignment horizontal="centerContinuous" vertical="center"/>
    </xf>
    <xf numFmtId="0" fontId="9" fillId="32" borderId="0" xfId="0" applyFont="1" applyFill="1" applyBorder="1" applyAlignment="1">
      <alignment horizontal="center" vertical="center"/>
    </xf>
    <xf numFmtId="0" fontId="9" fillId="32" borderId="0" xfId="0" applyFont="1" applyFill="1" applyBorder="1" applyAlignment="1">
      <alignment horizontal="right" vertical="center"/>
    </xf>
    <xf numFmtId="0" fontId="6" fillId="32" borderId="0" xfId="63" applyFont="1" applyFill="1" applyAlignment="1">
      <alignment horizontal="centerContinuous" vertical="center"/>
      <protection/>
    </xf>
    <xf numFmtId="0" fontId="6" fillId="32" borderId="0" xfId="63" applyFont="1" applyFill="1" applyAlignment="1">
      <alignment horizontal="centerContinuous" vertical="center" wrapText="1"/>
      <protection/>
    </xf>
    <xf numFmtId="0" fontId="7" fillId="32" borderId="0" xfId="63" applyFont="1" applyFill="1" applyAlignment="1">
      <alignment horizontal="centerContinuous" vertical="center"/>
      <protection/>
    </xf>
    <xf numFmtId="0" fontId="8" fillId="32" borderId="0" xfId="63" applyFont="1" applyFill="1" applyAlignment="1">
      <alignment horizontal="centerContinuous" vertical="center"/>
      <protection/>
    </xf>
    <xf numFmtId="0" fontId="8" fillId="32" borderId="0" xfId="63" applyFont="1" applyFill="1" applyAlignment="1">
      <alignment horizontal="left" vertical="center"/>
      <protection/>
    </xf>
    <xf numFmtId="0" fontId="8" fillId="32" borderId="0" xfId="63" applyFont="1" applyFill="1" applyAlignment="1">
      <alignment horizontal="left" vertical="center" wrapText="1"/>
      <protection/>
    </xf>
    <xf numFmtId="0" fontId="11" fillId="32" borderId="0" xfId="63" applyFont="1" applyFill="1" applyAlignment="1">
      <alignment horizontal="centerContinuous" vertical="center"/>
      <protection/>
    </xf>
    <xf numFmtId="0" fontId="11" fillId="32" borderId="0" xfId="63" applyFont="1" applyFill="1" applyAlignment="1">
      <alignment horizontal="centerContinuous" vertical="center" wrapText="1"/>
      <protection/>
    </xf>
    <xf numFmtId="0" fontId="12" fillId="32" borderId="0" xfId="63" applyFont="1" applyFill="1" applyAlignment="1">
      <alignment horizontal="centerContinuous" vertical="center"/>
      <protection/>
    </xf>
    <xf numFmtId="0" fontId="8" fillId="32" borderId="0" xfId="63" applyFont="1" applyFill="1" applyAlignment="1" quotePrefix="1">
      <alignment horizontal="centerContinuous" vertical="center" wrapText="1"/>
      <protection/>
    </xf>
    <xf numFmtId="0" fontId="8" fillId="32" borderId="0" xfId="63" applyFont="1" applyFill="1" applyAlignment="1" quotePrefix="1">
      <alignment horizontal="centerContinuous" vertical="center"/>
      <protection/>
    </xf>
    <xf numFmtId="0" fontId="9" fillId="32" borderId="0" xfId="63" applyFont="1" applyFill="1" applyAlignment="1">
      <alignment horizontal="left" vertical="center"/>
      <protection/>
    </xf>
    <xf numFmtId="0" fontId="9" fillId="32" borderId="0" xfId="63" applyFont="1" applyFill="1" applyAlignment="1">
      <alignment horizontal="left" vertical="center" wrapText="1"/>
      <protection/>
    </xf>
    <xf numFmtId="0" fontId="10" fillId="32" borderId="0" xfId="63" applyFont="1" applyFill="1" applyAlignment="1">
      <alignment vertical="center"/>
      <protection/>
    </xf>
    <xf numFmtId="0" fontId="9" fillId="32" borderId="0" xfId="63" applyFont="1" applyFill="1" applyBorder="1" applyAlignment="1">
      <alignment horizontal="center" vertical="center"/>
      <protection/>
    </xf>
    <xf numFmtId="0" fontId="13" fillId="32" borderId="11" xfId="63" applyFont="1" applyFill="1" applyBorder="1" applyAlignment="1">
      <alignment horizontal="center" vertical="center"/>
      <protection/>
    </xf>
    <xf numFmtId="0" fontId="13" fillId="32" borderId="11" xfId="63" applyFont="1" applyFill="1" applyBorder="1" applyAlignment="1">
      <alignment vertical="center" wrapText="1"/>
      <protection/>
    </xf>
    <xf numFmtId="3" fontId="13" fillId="32" borderId="11" xfId="63" applyNumberFormat="1" applyFont="1" applyFill="1" applyBorder="1" applyAlignment="1">
      <alignment vertical="center"/>
      <protection/>
    </xf>
    <xf numFmtId="0" fontId="20" fillId="32" borderId="11" xfId="0" applyFont="1" applyFill="1" applyBorder="1" applyAlignment="1">
      <alignment vertical="center" wrapText="1"/>
    </xf>
    <xf numFmtId="3" fontId="20" fillId="32" borderId="11" xfId="63" applyNumberFormat="1" applyFont="1" applyFill="1" applyBorder="1" applyAlignment="1">
      <alignment vertical="center"/>
      <protection/>
    </xf>
    <xf numFmtId="3" fontId="20" fillId="32" borderId="11" xfId="41" applyNumberFormat="1" applyFont="1" applyFill="1" applyBorder="1" applyAlignment="1">
      <alignment horizontal="right" vertical="center" wrapText="1"/>
    </xf>
    <xf numFmtId="0" fontId="13" fillId="32" borderId="11" xfId="0" applyFont="1" applyFill="1" applyBorder="1" applyAlignment="1">
      <alignment vertical="center" wrapText="1"/>
    </xf>
    <xf numFmtId="3" fontId="20" fillId="32" borderId="11" xfId="0" applyNumberFormat="1" applyFont="1" applyFill="1" applyBorder="1" applyAlignment="1">
      <alignment horizontal="center" vertical="center"/>
    </xf>
    <xf numFmtId="3" fontId="20" fillId="32" borderId="11" xfId="0" applyNumberFormat="1" applyFont="1" applyFill="1" applyBorder="1" applyAlignment="1">
      <alignment vertical="center" wrapText="1"/>
    </xf>
    <xf numFmtId="0" fontId="8" fillId="32" borderId="0" xfId="0" applyFont="1" applyFill="1" applyAlignment="1">
      <alignment horizontal="left" vertical="center"/>
    </xf>
    <xf numFmtId="3" fontId="6" fillId="32" borderId="11" xfId="0" applyNumberFormat="1" applyFont="1" applyFill="1" applyBorder="1" applyAlignment="1">
      <alignment horizontal="center" vertical="center"/>
    </xf>
    <xf numFmtId="204" fontId="6" fillId="32" borderId="11" xfId="41" applyNumberFormat="1" applyFont="1" applyFill="1" applyBorder="1" applyAlignment="1">
      <alignment vertical="center"/>
    </xf>
    <xf numFmtId="204" fontId="7" fillId="32" borderId="11" xfId="41" applyNumberFormat="1" applyFont="1" applyFill="1" applyBorder="1" applyAlignment="1">
      <alignment vertical="center"/>
    </xf>
    <xf numFmtId="0" fontId="27" fillId="0" borderId="0" xfId="0" applyFont="1" applyAlignment="1">
      <alignment vertical="center"/>
    </xf>
    <xf numFmtId="0" fontId="29" fillId="32" borderId="0" xfId="0" applyFont="1" applyFill="1" applyAlignment="1">
      <alignment horizontal="right" vertical="center"/>
    </xf>
    <xf numFmtId="197" fontId="6" fillId="0" borderId="11" xfId="68" applyNumberFormat="1" applyFont="1" applyFill="1" applyBorder="1" applyAlignment="1" applyProtection="1">
      <alignment horizontal="center" vertical="center"/>
      <protection/>
    </xf>
    <xf numFmtId="197" fontId="6" fillId="0" borderId="11" xfId="68" applyNumberFormat="1" applyFont="1" applyFill="1" applyBorder="1" applyAlignment="1">
      <alignment horizontal="left" vertical="center"/>
      <protection/>
    </xf>
    <xf numFmtId="3" fontId="6" fillId="0" borderId="11" xfId="41" applyNumberFormat="1" applyFont="1" applyFill="1" applyBorder="1" applyAlignment="1">
      <alignment vertical="center"/>
    </xf>
    <xf numFmtId="4" fontId="6" fillId="0" borderId="11" xfId="41" applyNumberFormat="1" applyFont="1" applyFill="1" applyBorder="1" applyAlignment="1">
      <alignment vertical="center"/>
    </xf>
    <xf numFmtId="197" fontId="7" fillId="0" borderId="11" xfId="68" applyNumberFormat="1" applyFont="1" applyFill="1" applyBorder="1" applyAlignment="1">
      <alignment horizontal="center" vertical="center"/>
      <protection/>
    </xf>
    <xf numFmtId="197" fontId="7" fillId="0" borderId="11" xfId="68" applyNumberFormat="1" applyFont="1" applyFill="1" applyBorder="1" applyAlignment="1" applyProtection="1">
      <alignment horizontal="left" vertical="center"/>
      <protection/>
    </xf>
    <xf numFmtId="3" fontId="7" fillId="0" borderId="11" xfId="68" applyNumberFormat="1" applyFont="1" applyFill="1" applyBorder="1" applyAlignment="1">
      <alignment horizontal="right" vertical="center"/>
      <protection/>
    </xf>
    <xf numFmtId="4" fontId="7" fillId="0" borderId="11" xfId="41" applyNumberFormat="1" applyFont="1" applyFill="1" applyBorder="1" applyAlignment="1">
      <alignment vertical="center"/>
    </xf>
    <xf numFmtId="197" fontId="7" fillId="0" borderId="11" xfId="68" applyNumberFormat="1" applyFont="1" applyFill="1" applyBorder="1" applyAlignment="1" quotePrefix="1">
      <alignment horizontal="center" vertical="center"/>
      <protection/>
    </xf>
    <xf numFmtId="3" fontId="7" fillId="0" borderId="11" xfId="68" applyNumberFormat="1" applyFont="1" applyFill="1" applyBorder="1" applyAlignment="1">
      <alignment vertical="center"/>
      <protection/>
    </xf>
    <xf numFmtId="3" fontId="7" fillId="0" borderId="11" xfId="41" applyNumberFormat="1" applyFont="1" applyFill="1" applyBorder="1" applyAlignment="1">
      <alignment vertical="center"/>
    </xf>
    <xf numFmtId="0" fontId="36" fillId="32" borderId="20" xfId="0" applyFont="1" applyFill="1" applyBorder="1" applyAlignment="1">
      <alignment vertical="center"/>
    </xf>
    <xf numFmtId="0" fontId="20" fillId="32" borderId="20" xfId="0" applyFont="1" applyFill="1" applyBorder="1" applyAlignment="1">
      <alignment horizontal="right" vertical="center"/>
    </xf>
    <xf numFmtId="200" fontId="13" fillId="32" borderId="11" xfId="41" applyNumberFormat="1" applyFont="1" applyFill="1" applyBorder="1" applyAlignment="1">
      <alignment vertical="center"/>
    </xf>
    <xf numFmtId="200" fontId="13" fillId="32" borderId="21" xfId="41" applyNumberFormat="1" applyFont="1" applyFill="1" applyBorder="1" applyAlignment="1">
      <alignment vertical="center"/>
    </xf>
    <xf numFmtId="200" fontId="20" fillId="32" borderId="11" xfId="41" applyNumberFormat="1" applyFont="1" applyFill="1" applyBorder="1" applyAlignment="1">
      <alignment vertical="center"/>
    </xf>
    <xf numFmtId="171" fontId="20" fillId="32" borderId="10" xfId="41" applyFont="1" applyFill="1" applyBorder="1" applyAlignment="1">
      <alignment vertical="center"/>
    </xf>
    <xf numFmtId="171" fontId="20" fillId="32" borderId="14" xfId="41" applyFont="1" applyFill="1" applyBorder="1" applyAlignment="1">
      <alignment vertical="center"/>
    </xf>
    <xf numFmtId="0" fontId="6" fillId="0" borderId="0" xfId="63" applyFont="1" applyFill="1" applyAlignment="1">
      <alignment horizontal="centerContinuous" vertical="center"/>
      <protection/>
    </xf>
    <xf numFmtId="0" fontId="7" fillId="0" borderId="0" xfId="63" applyFont="1" applyFill="1" applyAlignment="1">
      <alignment horizontal="centerContinuous" vertical="center"/>
      <protection/>
    </xf>
    <xf numFmtId="0" fontId="7" fillId="0" borderId="0" xfId="63" applyFont="1" applyFill="1" applyAlignment="1">
      <alignment vertical="center"/>
      <protection/>
    </xf>
    <xf numFmtId="0" fontId="6" fillId="0" borderId="0" xfId="63" applyFont="1" applyFill="1" applyAlignment="1">
      <alignment horizontal="right" vertical="center"/>
      <protection/>
    </xf>
    <xf numFmtId="0" fontId="11" fillId="0" borderId="0" xfId="63" applyFont="1" applyFill="1" applyAlignment="1">
      <alignment horizontal="centerContinuous" vertical="center"/>
      <protection/>
    </xf>
    <xf numFmtId="0" fontId="12" fillId="0" borderId="0" xfId="63" applyFont="1" applyFill="1" applyAlignment="1">
      <alignment horizontal="centerContinuous" vertical="center"/>
      <protection/>
    </xf>
    <xf numFmtId="0" fontId="12" fillId="0" borderId="0" xfId="63" applyFont="1" applyFill="1" applyAlignment="1">
      <alignment vertical="center"/>
      <protection/>
    </xf>
    <xf numFmtId="0" fontId="15" fillId="0" borderId="0" xfId="63" applyFont="1" applyFill="1" applyAlignment="1">
      <alignment horizontal="centerContinuous" vertical="center"/>
      <protection/>
    </xf>
    <xf numFmtId="0" fontId="6" fillId="0" borderId="0" xfId="63" applyFont="1" applyFill="1" applyAlignment="1" quotePrefix="1">
      <alignment horizontal="centerContinuous" vertical="center"/>
      <protection/>
    </xf>
    <xf numFmtId="0" fontId="9" fillId="0" borderId="0" xfId="63" applyFont="1" applyFill="1" applyAlignment="1">
      <alignment horizontal="left" vertical="center"/>
      <protection/>
    </xf>
    <xf numFmtId="0" fontId="10" fillId="0" borderId="0" xfId="63" applyFont="1" applyFill="1" applyAlignment="1">
      <alignment vertical="center"/>
      <protection/>
    </xf>
    <xf numFmtId="0" fontId="15" fillId="0" borderId="0" xfId="63" applyFont="1" applyFill="1" applyBorder="1" applyAlignment="1">
      <alignment horizontal="right" vertical="center"/>
      <protection/>
    </xf>
    <xf numFmtId="0" fontId="23" fillId="0" borderId="11" xfId="63" applyFont="1" applyFill="1" applyBorder="1" applyAlignment="1">
      <alignment horizontal="center" vertical="center"/>
      <protection/>
    </xf>
    <xf numFmtId="0" fontId="23" fillId="0" borderId="11" xfId="63" applyFont="1" applyFill="1" applyBorder="1" applyAlignment="1">
      <alignment vertical="center"/>
      <protection/>
    </xf>
    <xf numFmtId="200" fontId="23" fillId="0" borderId="11" xfId="41" applyNumberFormat="1" applyFont="1" applyFill="1" applyBorder="1" applyAlignment="1">
      <alignment vertical="center"/>
    </xf>
    <xf numFmtId="3" fontId="10" fillId="0" borderId="0" xfId="63" applyNumberFormat="1" applyFont="1" applyFill="1" applyAlignment="1">
      <alignment vertical="center"/>
      <protection/>
    </xf>
    <xf numFmtId="200" fontId="10" fillId="0" borderId="0" xfId="63" applyNumberFormat="1" applyFont="1" applyFill="1" applyAlignment="1">
      <alignment vertical="center"/>
      <protection/>
    </xf>
    <xf numFmtId="3" fontId="24" fillId="0" borderId="11" xfId="0" applyNumberFormat="1" applyFont="1" applyFill="1" applyBorder="1" applyAlignment="1">
      <alignment horizontal="center" vertical="center"/>
    </xf>
    <xf numFmtId="3" fontId="24" fillId="0" borderId="11" xfId="0" applyNumberFormat="1" applyFont="1" applyFill="1" applyBorder="1" applyAlignment="1">
      <alignment vertical="center"/>
    </xf>
    <xf numFmtId="200" fontId="24" fillId="0" borderId="11" xfId="41" applyNumberFormat="1" applyFont="1" applyFill="1" applyBorder="1" applyAlignment="1">
      <alignment vertical="center"/>
    </xf>
    <xf numFmtId="0" fontId="10" fillId="32" borderId="0" xfId="69" applyFont="1" applyFill="1" applyAlignment="1">
      <alignment vertical="center"/>
      <protection/>
    </xf>
    <xf numFmtId="0" fontId="10" fillId="32" borderId="0" xfId="69" applyNumberFormat="1" applyFont="1" applyFill="1" applyAlignment="1">
      <alignment vertical="center"/>
      <protection/>
    </xf>
    <xf numFmtId="0" fontId="10" fillId="32" borderId="0" xfId="69" applyFont="1" applyFill="1" applyAlignment="1">
      <alignment horizontal="right" vertical="center"/>
      <protection/>
    </xf>
    <xf numFmtId="0" fontId="7" fillId="32" borderId="0" xfId="69" applyNumberFormat="1" applyFont="1" applyFill="1" applyAlignment="1">
      <alignment vertical="center"/>
      <protection/>
    </xf>
    <xf numFmtId="0" fontId="7" fillId="32" borderId="0" xfId="69" applyFont="1" applyFill="1" applyAlignment="1">
      <alignment horizontal="right" vertical="center" wrapText="1"/>
      <protection/>
    </xf>
    <xf numFmtId="200" fontId="10" fillId="32" borderId="0" xfId="69" applyNumberFormat="1" applyFont="1" applyFill="1" applyAlignment="1">
      <alignment vertical="center"/>
      <protection/>
    </xf>
    <xf numFmtId="0" fontId="15" fillId="32" borderId="20" xfId="64" applyFont="1" applyFill="1" applyBorder="1" applyAlignment="1">
      <alignment vertical="center"/>
      <protection/>
    </xf>
    <xf numFmtId="0" fontId="9" fillId="32" borderId="0" xfId="64" applyFont="1" applyFill="1" applyBorder="1" applyAlignment="1">
      <alignment vertical="center"/>
      <protection/>
    </xf>
    <xf numFmtId="0" fontId="6" fillId="32" borderId="0" xfId="69" applyNumberFormat="1" applyFont="1" applyFill="1" applyAlignment="1">
      <alignment horizontal="center" vertical="center" wrapText="1"/>
      <protection/>
    </xf>
    <xf numFmtId="0" fontId="7" fillId="32" borderId="0" xfId="69" applyNumberFormat="1" applyFont="1" applyFill="1" applyAlignment="1">
      <alignment horizontal="center" vertical="center" wrapText="1"/>
      <protection/>
    </xf>
    <xf numFmtId="0" fontId="6" fillId="32" borderId="11" xfId="69" applyFont="1" applyFill="1" applyBorder="1" applyAlignment="1">
      <alignment vertical="center"/>
      <protection/>
    </xf>
    <xf numFmtId="4" fontId="6" fillId="32" borderId="11" xfId="43" applyNumberFormat="1" applyFont="1" applyFill="1" applyBorder="1" applyAlignment="1">
      <alignment vertical="center"/>
    </xf>
    <xf numFmtId="4" fontId="6" fillId="32" borderId="0" xfId="69" applyNumberFormat="1" applyFont="1" applyFill="1" applyAlignment="1">
      <alignment vertical="center"/>
      <protection/>
    </xf>
    <xf numFmtId="0" fontId="6" fillId="32" borderId="0" xfId="69" applyNumberFormat="1" applyFont="1" applyFill="1" applyAlignment="1">
      <alignment vertical="center"/>
      <protection/>
    </xf>
    <xf numFmtId="3" fontId="6" fillId="32" borderId="0" xfId="69" applyNumberFormat="1" applyFont="1" applyFill="1" applyAlignment="1">
      <alignment horizontal="right" vertical="center" wrapText="1"/>
      <protection/>
    </xf>
    <xf numFmtId="0" fontId="7" fillId="32" borderId="11" xfId="69" applyFont="1" applyFill="1" applyBorder="1" applyAlignment="1">
      <alignment horizontal="center" vertical="center"/>
      <protection/>
    </xf>
    <xf numFmtId="0" fontId="7" fillId="32" borderId="11" xfId="69" applyFont="1" applyFill="1" applyBorder="1" applyAlignment="1">
      <alignment vertical="center"/>
      <protection/>
    </xf>
    <xf numFmtId="4" fontId="7" fillId="32" borderId="11" xfId="43" applyNumberFormat="1" applyFont="1" applyFill="1" applyBorder="1" applyAlignment="1">
      <alignment vertical="center"/>
    </xf>
    <xf numFmtId="3" fontId="7" fillId="32" borderId="0" xfId="69" applyNumberFormat="1" applyFont="1" applyFill="1" applyAlignment="1">
      <alignment horizontal="right" vertical="center" wrapText="1"/>
      <protection/>
    </xf>
    <xf numFmtId="0" fontId="7" fillId="32" borderId="11" xfId="69" applyFont="1" applyFill="1" applyBorder="1" applyAlignment="1">
      <alignment horizontal="left" vertical="center" wrapText="1"/>
      <protection/>
    </xf>
    <xf numFmtId="0" fontId="22" fillId="32" borderId="0" xfId="69" applyNumberFormat="1" applyFont="1" applyFill="1" applyAlignment="1">
      <alignment vertical="center"/>
      <protection/>
    </xf>
    <xf numFmtId="0" fontId="22" fillId="32" borderId="0" xfId="69" applyFont="1" applyFill="1" applyAlignment="1">
      <alignment horizontal="right" vertical="center" wrapText="1"/>
      <protection/>
    </xf>
    <xf numFmtId="0" fontId="15" fillId="32" borderId="0" xfId="0" applyFont="1" applyFill="1" applyBorder="1" applyAlignment="1">
      <alignment horizontal="center" vertical="center"/>
    </xf>
    <xf numFmtId="0" fontId="6" fillId="32" borderId="0" xfId="0" applyFont="1" applyFill="1" applyAlignment="1">
      <alignment horizontal="center" vertical="center"/>
    </xf>
    <xf numFmtId="0" fontId="91" fillId="32" borderId="0" xfId="0" applyFont="1" applyFill="1" applyAlignment="1">
      <alignment horizontal="centerContinuous" vertical="center"/>
    </xf>
    <xf numFmtId="0" fontId="84" fillId="32" borderId="0" xfId="0" applyFont="1" applyFill="1" applyAlignment="1">
      <alignment horizontal="right" vertical="center"/>
    </xf>
    <xf numFmtId="0" fontId="84" fillId="32" borderId="0" xfId="0" applyFont="1" applyFill="1" applyAlignment="1">
      <alignment horizontal="centerContinuous" vertical="center"/>
    </xf>
    <xf numFmtId="0" fontId="84" fillId="32" borderId="0" xfId="0" applyFont="1" applyFill="1" applyAlignment="1">
      <alignment vertical="center"/>
    </xf>
    <xf numFmtId="0" fontId="91" fillId="32" borderId="0" xfId="0" applyFont="1" applyFill="1" applyAlignment="1">
      <alignment horizontal="right" vertical="center"/>
    </xf>
    <xf numFmtId="0" fontId="92" fillId="32" borderId="0" xfId="0" applyFont="1" applyFill="1" applyAlignment="1">
      <alignment horizontal="left" vertical="center"/>
    </xf>
    <xf numFmtId="0" fontId="93" fillId="32" borderId="0" xfId="0" applyFont="1" applyFill="1" applyAlignment="1">
      <alignment vertical="center"/>
    </xf>
    <xf numFmtId="0" fontId="94" fillId="32" borderId="11" xfId="0" applyFont="1" applyFill="1" applyBorder="1" applyAlignment="1">
      <alignment horizontal="center" vertical="center"/>
    </xf>
    <xf numFmtId="0" fontId="95" fillId="32" borderId="11" xfId="0" applyFont="1" applyFill="1" applyBorder="1" applyAlignment="1">
      <alignment horizontal="center" vertical="center"/>
    </xf>
    <xf numFmtId="0" fontId="96" fillId="32" borderId="11" xfId="0" applyFont="1" applyFill="1" applyBorder="1" applyAlignment="1">
      <alignment vertical="center"/>
    </xf>
    <xf numFmtId="3" fontId="95" fillId="32" borderId="11" xfId="0" applyNumberFormat="1" applyFont="1" applyFill="1" applyBorder="1" applyAlignment="1">
      <alignment vertical="center"/>
    </xf>
    <xf numFmtId="188" fontId="95" fillId="32" borderId="11" xfId="0" applyNumberFormat="1" applyFont="1" applyFill="1" applyBorder="1" applyAlignment="1">
      <alignment vertical="center"/>
    </xf>
    <xf numFmtId="0" fontId="95" fillId="32" borderId="11" xfId="0" applyFont="1" applyFill="1" applyBorder="1" applyAlignment="1">
      <alignment vertical="center"/>
    </xf>
    <xf numFmtId="0" fontId="93" fillId="32" borderId="11" xfId="0" applyFont="1" applyFill="1" applyBorder="1" applyAlignment="1" quotePrefix="1">
      <alignment horizontal="center" vertical="center"/>
    </xf>
    <xf numFmtId="0" fontId="93" fillId="32" borderId="11" xfId="0" applyFont="1" applyFill="1" applyBorder="1" applyAlignment="1">
      <alignment vertical="center"/>
    </xf>
    <xf numFmtId="3" fontId="93" fillId="32" borderId="11" xfId="0" applyNumberFormat="1" applyFont="1" applyFill="1" applyBorder="1" applyAlignment="1">
      <alignment vertical="center"/>
    </xf>
    <xf numFmtId="188" fontId="93" fillId="32" borderId="11" xfId="0" applyNumberFormat="1" applyFont="1" applyFill="1" applyBorder="1" applyAlignment="1">
      <alignment vertical="center"/>
    </xf>
    <xf numFmtId="0" fontId="93" fillId="32" borderId="11" xfId="0" applyFont="1" applyFill="1" applyBorder="1" applyAlignment="1">
      <alignment horizontal="center" vertical="center"/>
    </xf>
    <xf numFmtId="0" fontId="95" fillId="32" borderId="0" xfId="0" applyFont="1" applyFill="1" applyAlignment="1">
      <alignment horizontal="centerContinuous" vertical="center"/>
    </xf>
    <xf numFmtId="0" fontId="95" fillId="32" borderId="0" xfId="0" applyFont="1" applyFill="1" applyAlignment="1">
      <alignment horizontal="right" vertical="center"/>
    </xf>
    <xf numFmtId="0" fontId="84" fillId="32" borderId="0" xfId="0" applyFont="1" applyFill="1" applyAlignment="1">
      <alignment/>
    </xf>
    <xf numFmtId="0" fontId="92" fillId="32" borderId="0" xfId="0" applyFont="1" applyFill="1" applyAlignment="1">
      <alignment/>
    </xf>
    <xf numFmtId="0" fontId="91" fillId="32" borderId="11" xfId="0" applyFont="1" applyFill="1" applyBorder="1" applyAlignment="1">
      <alignment horizontal="center" vertical="center"/>
    </xf>
    <xf numFmtId="0" fontId="91" fillId="32" borderId="11" xfId="0" applyFont="1" applyFill="1" applyBorder="1" applyAlignment="1">
      <alignment vertical="center"/>
    </xf>
    <xf numFmtId="3" fontId="91" fillId="32" borderId="11" xfId="0" applyNumberFormat="1" applyFont="1" applyFill="1" applyBorder="1" applyAlignment="1">
      <alignment vertical="center"/>
    </xf>
    <xf numFmtId="188" fontId="91" fillId="32" borderId="11" xfId="0" applyNumberFormat="1" applyFont="1" applyFill="1" applyBorder="1" applyAlignment="1">
      <alignment vertical="center"/>
    </xf>
    <xf numFmtId="3" fontId="84" fillId="32" borderId="0" xfId="0" applyNumberFormat="1" applyFont="1" applyFill="1" applyAlignment="1">
      <alignment/>
    </xf>
    <xf numFmtId="0" fontId="84" fillId="32" borderId="11" xfId="0" applyFont="1" applyFill="1" applyBorder="1" applyAlignment="1">
      <alignment horizontal="center" vertical="center"/>
    </xf>
    <xf numFmtId="0" fontId="84" fillId="32" borderId="11" xfId="0" applyFont="1" applyFill="1" applyBorder="1" applyAlignment="1">
      <alignment vertical="center"/>
    </xf>
    <xf numFmtId="3" fontId="84" fillId="32" borderId="11" xfId="0" applyNumberFormat="1" applyFont="1" applyFill="1" applyBorder="1" applyAlignment="1">
      <alignment vertical="center"/>
    </xf>
    <xf numFmtId="188" fontId="84" fillId="32" borderId="11" xfId="0" applyNumberFormat="1" applyFont="1" applyFill="1" applyBorder="1" applyAlignment="1">
      <alignment vertical="center"/>
    </xf>
    <xf numFmtId="0" fontId="84" fillId="32" borderId="11" xfId="0" applyFont="1" applyFill="1" applyBorder="1" applyAlignment="1" quotePrefix="1">
      <alignment horizontal="center" vertical="center"/>
    </xf>
    <xf numFmtId="0" fontId="97" fillId="32" borderId="11" xfId="0" applyFont="1" applyFill="1" applyBorder="1" applyAlignment="1">
      <alignment vertical="center"/>
    </xf>
    <xf numFmtId="0" fontId="84" fillId="32" borderId="11" xfId="60" applyFont="1" applyFill="1" applyBorder="1" applyAlignment="1">
      <alignment vertical="center" wrapText="1"/>
      <protection/>
    </xf>
    <xf numFmtId="0" fontId="84" fillId="32" borderId="11" xfId="0" applyFont="1" applyFill="1" applyBorder="1" applyAlignment="1">
      <alignment horizontal="center" vertical="center" wrapText="1"/>
    </xf>
    <xf numFmtId="0" fontId="84" fillId="32" borderId="11" xfId="0" applyFont="1" applyFill="1" applyBorder="1" applyAlignment="1">
      <alignment vertical="center" wrapText="1"/>
    </xf>
    <xf numFmtId="3" fontId="84" fillId="32" borderId="11" xfId="0" applyNumberFormat="1" applyFont="1" applyFill="1" applyBorder="1" applyAlignment="1">
      <alignment vertical="center" wrapText="1"/>
    </xf>
    <xf numFmtId="200" fontId="84" fillId="32" borderId="0" xfId="41" applyNumberFormat="1" applyFont="1" applyFill="1" applyAlignment="1">
      <alignment horizontal="centerContinuous" vertical="center"/>
    </xf>
    <xf numFmtId="200" fontId="93" fillId="32" borderId="0" xfId="41" applyNumberFormat="1" applyFont="1" applyFill="1" applyAlignment="1">
      <alignment vertical="center"/>
    </xf>
    <xf numFmtId="0" fontId="98" fillId="32" borderId="0" xfId="0" applyFont="1" applyFill="1" applyAlignment="1">
      <alignment vertical="center"/>
    </xf>
    <xf numFmtId="0" fontId="94" fillId="32" borderId="0" xfId="0" applyFont="1" applyFill="1" applyAlignment="1">
      <alignment vertical="center"/>
    </xf>
    <xf numFmtId="0" fontId="99" fillId="32" borderId="11" xfId="0" applyFont="1" applyFill="1" applyBorder="1" applyAlignment="1">
      <alignment vertical="center"/>
    </xf>
    <xf numFmtId="200" fontId="84" fillId="32" borderId="11" xfId="41" applyNumberFormat="1" applyFont="1" applyFill="1" applyBorder="1" applyAlignment="1">
      <alignment vertical="center"/>
    </xf>
    <xf numFmtId="200" fontId="91" fillId="32" borderId="11" xfId="41" applyNumberFormat="1" applyFont="1" applyFill="1" applyBorder="1" applyAlignment="1">
      <alignment vertical="center"/>
    </xf>
    <xf numFmtId="201" fontId="91" fillId="32" borderId="11" xfId="73" applyNumberFormat="1" applyFont="1" applyFill="1" applyBorder="1" applyAlignment="1">
      <alignment vertical="center"/>
    </xf>
    <xf numFmtId="0" fontId="95" fillId="32" borderId="0" xfId="0" applyFont="1" applyFill="1" applyAlignment="1">
      <alignment vertical="center"/>
    </xf>
    <xf numFmtId="201" fontId="84" fillId="32" borderId="11" xfId="73" applyNumberFormat="1" applyFont="1" applyFill="1" applyBorder="1" applyAlignment="1">
      <alignment vertical="center"/>
    </xf>
    <xf numFmtId="200" fontId="84" fillId="32" borderId="11" xfId="41" applyNumberFormat="1" applyFont="1" applyFill="1" applyBorder="1" applyAlignment="1">
      <alignment horizontal="right" vertical="center"/>
    </xf>
    <xf numFmtId="3" fontId="84" fillId="32" borderId="11" xfId="0" applyNumberFormat="1" applyFont="1" applyFill="1" applyBorder="1" applyAlignment="1">
      <alignment horizontal="right" vertical="center"/>
    </xf>
    <xf numFmtId="3" fontId="84" fillId="32" borderId="11" xfId="41" applyNumberFormat="1" applyFont="1" applyFill="1" applyBorder="1" applyAlignment="1">
      <alignment horizontal="right" vertical="center"/>
    </xf>
    <xf numFmtId="4" fontId="84" fillId="32" borderId="11" xfId="0" applyNumberFormat="1" applyFont="1" applyFill="1" applyBorder="1" applyAlignment="1">
      <alignment vertical="center"/>
    </xf>
    <xf numFmtId="200" fontId="84" fillId="32" borderId="0" xfId="41" applyNumberFormat="1" applyFont="1" applyFill="1" applyAlignment="1">
      <alignment vertical="center"/>
    </xf>
    <xf numFmtId="0" fontId="100" fillId="32" borderId="0" xfId="0" applyFont="1" applyFill="1" applyAlignment="1">
      <alignment horizontal="centerContinuous" vertical="center"/>
    </xf>
    <xf numFmtId="0" fontId="98" fillId="32" borderId="0" xfId="0" applyFont="1" applyFill="1" applyAlignment="1">
      <alignment horizontal="centerContinuous" vertical="center"/>
    </xf>
    <xf numFmtId="0" fontId="98" fillId="32" borderId="0" xfId="0" applyFont="1" applyFill="1" applyAlignment="1">
      <alignment/>
    </xf>
    <xf numFmtId="0" fontId="91" fillId="32" borderId="15" xfId="0" applyNumberFormat="1" applyFont="1" applyFill="1" applyBorder="1" applyAlignment="1">
      <alignment horizontal="center" vertical="center" wrapText="1"/>
    </xf>
    <xf numFmtId="0" fontId="93" fillId="32" borderId="0" xfId="0" applyFont="1" applyFill="1" applyAlignment="1">
      <alignment/>
    </xf>
    <xf numFmtId="3" fontId="101" fillId="32" borderId="11" xfId="0" applyNumberFormat="1" applyFont="1" applyFill="1" applyBorder="1" applyAlignment="1">
      <alignment vertical="center"/>
    </xf>
    <xf numFmtId="0" fontId="92" fillId="32" borderId="0" xfId="0" applyFont="1" applyFill="1" applyAlignment="1">
      <alignment/>
    </xf>
    <xf numFmtId="0" fontId="102" fillId="32" borderId="11" xfId="0" applyFont="1" applyFill="1" applyBorder="1" applyAlignment="1">
      <alignment vertical="center"/>
    </xf>
    <xf numFmtId="3" fontId="102" fillId="32" borderId="11" xfId="0" applyNumberFormat="1" applyFont="1" applyFill="1" applyBorder="1" applyAlignment="1">
      <alignment vertical="center"/>
    </xf>
    <xf numFmtId="3" fontId="93" fillId="32" borderId="0" xfId="0" applyNumberFormat="1" applyFont="1" applyFill="1" applyAlignment="1">
      <alignment/>
    </xf>
    <xf numFmtId="3" fontId="84" fillId="32" borderId="11" xfId="0" applyNumberFormat="1" applyFont="1" applyFill="1" applyBorder="1" applyAlignment="1">
      <alignment horizontal="left" vertical="center" wrapText="1"/>
    </xf>
    <xf numFmtId="3" fontId="84" fillId="32" borderId="11" xfId="0" applyNumberFormat="1" applyFont="1" applyFill="1" applyBorder="1" applyAlignment="1">
      <alignment horizontal="left" vertical="center"/>
    </xf>
    <xf numFmtId="0" fontId="102" fillId="32" borderId="0" xfId="0" applyFont="1" applyFill="1" applyAlignment="1">
      <alignment horizontal="left" vertical="center"/>
    </xf>
    <xf numFmtId="0" fontId="84" fillId="32" borderId="0" xfId="0" applyFont="1" applyFill="1" applyBorder="1" applyAlignment="1">
      <alignment horizontal="right" vertical="center"/>
    </xf>
    <xf numFmtId="3" fontId="91" fillId="32" borderId="11" xfId="0" applyNumberFormat="1" applyFont="1" applyFill="1" applyBorder="1" applyAlignment="1">
      <alignment horizontal="right" vertical="center"/>
    </xf>
    <xf numFmtId="198" fontId="84" fillId="32" borderId="11" xfId="70" applyNumberFormat="1" applyFont="1" applyFill="1" applyBorder="1" applyAlignment="1">
      <alignment vertical="center" wrapText="1"/>
      <protection/>
    </xf>
    <xf numFmtId="0" fontId="91" fillId="32" borderId="22" xfId="0" applyFont="1" applyFill="1" applyBorder="1" applyAlignment="1">
      <alignment horizontal="center"/>
    </xf>
    <xf numFmtId="0" fontId="91" fillId="32" borderId="23" xfId="0" applyFont="1" applyFill="1" applyBorder="1" applyAlignment="1">
      <alignment/>
    </xf>
    <xf numFmtId="3" fontId="91" fillId="32" borderId="22" xfId="0" applyNumberFormat="1" applyFont="1" applyFill="1" applyBorder="1" applyAlignment="1">
      <alignment horizontal="right"/>
    </xf>
    <xf numFmtId="0" fontId="91" fillId="32" borderId="14" xfId="0" applyFont="1" applyFill="1" applyBorder="1" applyAlignment="1">
      <alignment horizontal="center"/>
    </xf>
    <xf numFmtId="0" fontId="91" fillId="32" borderId="18" xfId="0" applyFont="1" applyFill="1" applyBorder="1" applyAlignment="1">
      <alignment/>
    </xf>
    <xf numFmtId="3" fontId="84" fillId="32" borderId="14" xfId="0" applyNumberFormat="1" applyFont="1" applyFill="1" applyBorder="1" applyAlignment="1">
      <alignment horizontal="right"/>
    </xf>
    <xf numFmtId="0" fontId="103" fillId="32" borderId="0" xfId="0" applyFont="1" applyFill="1" applyAlignment="1">
      <alignment horizontal="centerContinuous" vertical="center"/>
    </xf>
    <xf numFmtId="0" fontId="94" fillId="32" borderId="0" xfId="0" applyFont="1" applyFill="1" applyAlignment="1">
      <alignment horizontal="centerContinuous" vertical="center"/>
    </xf>
    <xf numFmtId="0" fontId="103" fillId="32" borderId="0" xfId="0" applyFont="1" applyFill="1" applyAlignment="1">
      <alignment vertical="center"/>
    </xf>
    <xf numFmtId="0" fontId="103" fillId="32" borderId="0" xfId="0" applyFont="1" applyFill="1" applyAlignment="1">
      <alignment horizontal="right" vertical="center"/>
    </xf>
    <xf numFmtId="0" fontId="94" fillId="32" borderId="0" xfId="0" applyFont="1" applyFill="1" applyAlignment="1">
      <alignment/>
    </xf>
    <xf numFmtId="0" fontId="104" fillId="32" borderId="0" xfId="0" applyFont="1" applyFill="1" applyAlignment="1">
      <alignment horizontal="centerContinuous" vertical="center"/>
    </xf>
    <xf numFmtId="0" fontId="104" fillId="32" borderId="0" xfId="0" applyFont="1" applyFill="1" applyAlignment="1">
      <alignment horizontal="left" vertical="center"/>
    </xf>
    <xf numFmtId="3" fontId="94" fillId="32" borderId="0" xfId="0" applyNumberFormat="1" applyFont="1" applyFill="1" applyAlignment="1">
      <alignment vertical="center"/>
    </xf>
    <xf numFmtId="0" fontId="104" fillId="32" borderId="0" xfId="0" applyFont="1" applyFill="1" applyBorder="1" applyAlignment="1">
      <alignment horizontal="center" vertical="center"/>
    </xf>
    <xf numFmtId="0" fontId="94" fillId="32" borderId="0" xfId="0" applyFont="1" applyFill="1" applyBorder="1" applyAlignment="1">
      <alignment horizontal="center" vertical="center"/>
    </xf>
    <xf numFmtId="0" fontId="94" fillId="32" borderId="0" xfId="0" applyFont="1" applyFill="1" applyBorder="1" applyAlignment="1">
      <alignment horizontal="right" vertical="center"/>
    </xf>
    <xf numFmtId="0" fontId="104" fillId="32" borderId="0" xfId="0" applyFont="1" applyFill="1" applyBorder="1" applyAlignment="1">
      <alignment horizontal="right" vertical="center"/>
    </xf>
    <xf numFmtId="0" fontId="94" fillId="32" borderId="11" xfId="0" applyFont="1" applyFill="1" applyBorder="1" applyAlignment="1" quotePrefix="1">
      <alignment horizontal="center" vertical="center"/>
    </xf>
    <xf numFmtId="0" fontId="103" fillId="32" borderId="11" xfId="0" applyFont="1" applyFill="1" applyBorder="1" applyAlignment="1">
      <alignment horizontal="center" vertical="center"/>
    </xf>
    <xf numFmtId="0" fontId="103" fillId="32" borderId="11" xfId="0" applyFont="1" applyFill="1" applyBorder="1" applyAlignment="1">
      <alignment vertical="center"/>
    </xf>
    <xf numFmtId="3" fontId="103" fillId="32" borderId="11" xfId="0" applyNumberFormat="1" applyFont="1" applyFill="1" applyBorder="1" applyAlignment="1">
      <alignment vertical="center"/>
    </xf>
    <xf numFmtId="3" fontId="103" fillId="32" borderId="21" xfId="0" applyNumberFormat="1" applyFont="1" applyFill="1" applyBorder="1" applyAlignment="1">
      <alignment vertical="center"/>
    </xf>
    <xf numFmtId="3" fontId="103" fillId="32" borderId="10" xfId="0" applyNumberFormat="1" applyFont="1" applyFill="1" applyBorder="1" applyAlignment="1">
      <alignment vertical="center"/>
    </xf>
    <xf numFmtId="0" fontId="103" fillId="32" borderId="0" xfId="0" applyFont="1" applyFill="1" applyAlignment="1">
      <alignment/>
    </xf>
    <xf numFmtId="0" fontId="94" fillId="32" borderId="11" xfId="0" applyFont="1" applyFill="1" applyBorder="1" applyAlignment="1">
      <alignment vertical="center"/>
    </xf>
    <xf numFmtId="3" fontId="94" fillId="32" borderId="11" xfId="0" applyNumberFormat="1" applyFont="1" applyFill="1" applyBorder="1" applyAlignment="1">
      <alignment vertical="center"/>
    </xf>
    <xf numFmtId="3" fontId="94" fillId="32" borderId="10" xfId="0" applyNumberFormat="1" applyFont="1" applyFill="1" applyBorder="1" applyAlignment="1">
      <alignment vertical="center"/>
    </xf>
    <xf numFmtId="3" fontId="94" fillId="32" borderId="0" xfId="0" applyNumberFormat="1" applyFont="1" applyFill="1" applyAlignment="1">
      <alignment/>
    </xf>
    <xf numFmtId="200" fontId="105" fillId="32" borderId="11" xfId="41" applyNumberFormat="1" applyFont="1" applyFill="1" applyBorder="1" applyAlignment="1">
      <alignment vertical="center"/>
    </xf>
    <xf numFmtId="200" fontId="93" fillId="32" borderId="0" xfId="0" applyNumberFormat="1" applyFont="1" applyFill="1" applyAlignment="1">
      <alignment vertical="center"/>
    </xf>
    <xf numFmtId="0" fontId="95" fillId="32" borderId="11" xfId="0" applyFont="1" applyFill="1" applyBorder="1" applyAlignment="1">
      <alignment horizontal="center" vertical="center" wrapText="1"/>
    </xf>
    <xf numFmtId="0" fontId="95" fillId="32" borderId="0" xfId="0" applyFont="1" applyFill="1" applyAlignment="1">
      <alignment horizontal="center" vertical="center"/>
    </xf>
    <xf numFmtId="0" fontId="93" fillId="32" borderId="0" xfId="0" applyFont="1" applyFill="1" applyBorder="1" applyAlignment="1">
      <alignment horizontal="right" vertical="center"/>
    </xf>
    <xf numFmtId="0" fontId="95" fillId="32" borderId="11" xfId="0" applyFont="1" applyFill="1" applyBorder="1" applyAlignment="1">
      <alignment horizontal="center" vertical="center"/>
    </xf>
    <xf numFmtId="0" fontId="92" fillId="32" borderId="0" xfId="0" applyFont="1" applyFill="1" applyAlignment="1">
      <alignment horizontal="center" vertical="center"/>
    </xf>
    <xf numFmtId="0" fontId="8" fillId="32" borderId="0" xfId="0" applyFont="1" applyFill="1" applyAlignment="1">
      <alignment horizontal="center" vertical="center"/>
    </xf>
    <xf numFmtId="0" fontId="6" fillId="32" borderId="11" xfId="0" applyFont="1" applyFill="1" applyBorder="1" applyAlignment="1">
      <alignment horizontal="center" vertical="center"/>
    </xf>
    <xf numFmtId="0" fontId="0" fillId="32" borderId="11" xfId="0" applyFont="1" applyFill="1" applyBorder="1" applyAlignment="1">
      <alignment vertical="center"/>
    </xf>
    <xf numFmtId="0" fontId="15" fillId="32" borderId="0" xfId="0" applyFont="1" applyFill="1" applyAlignment="1">
      <alignment horizontal="center" vertical="center"/>
    </xf>
    <xf numFmtId="0" fontId="6" fillId="32" borderId="11" xfId="0" applyFont="1" applyFill="1" applyBorder="1" applyAlignment="1">
      <alignment horizontal="center" vertical="center" wrapText="1"/>
    </xf>
    <xf numFmtId="0" fontId="102" fillId="32" borderId="0" xfId="0" applyFont="1" applyFill="1" applyAlignment="1">
      <alignment horizontal="center" vertical="center"/>
    </xf>
    <xf numFmtId="0" fontId="84" fillId="32" borderId="20" xfId="0" applyFont="1" applyFill="1" applyBorder="1" applyAlignment="1">
      <alignment horizontal="right" vertical="center"/>
    </xf>
    <xf numFmtId="0" fontId="91" fillId="32" borderId="11" xfId="0" applyFont="1" applyFill="1" applyBorder="1" applyAlignment="1">
      <alignment horizontal="center" vertical="center" wrapText="1"/>
    </xf>
    <xf numFmtId="0" fontId="91" fillId="32" borderId="11" xfId="0" applyFont="1" applyFill="1" applyBorder="1" applyAlignment="1">
      <alignment horizontal="center" vertical="center"/>
    </xf>
    <xf numFmtId="200" fontId="91" fillId="32" borderId="11" xfId="41" applyNumberFormat="1" applyFont="1" applyFill="1" applyBorder="1" applyAlignment="1">
      <alignment horizontal="center" vertical="center" wrapText="1"/>
    </xf>
    <xf numFmtId="0" fontId="29" fillId="32" borderId="0" xfId="0" applyFont="1" applyFill="1" applyBorder="1" applyAlignment="1">
      <alignment horizontal="left" vertical="center" wrapText="1"/>
    </xf>
    <xf numFmtId="0" fontId="22" fillId="32" borderId="0" xfId="0" applyFont="1" applyFill="1" applyAlignment="1">
      <alignment horizontal="left" vertical="center" wrapText="1"/>
    </xf>
    <xf numFmtId="0" fontId="7" fillId="32" borderId="20" xfId="0" applyFont="1" applyFill="1" applyBorder="1" applyAlignment="1">
      <alignment horizontal="center" vertical="center"/>
    </xf>
    <xf numFmtId="0" fontId="6" fillId="32" borderId="0" xfId="0" applyFont="1" applyFill="1" applyAlignment="1">
      <alignment horizontal="right" vertical="center"/>
    </xf>
    <xf numFmtId="0" fontId="8" fillId="0" borderId="0" xfId="0" applyFont="1" applyFill="1" applyAlignment="1">
      <alignment horizontal="center" vertical="center"/>
    </xf>
    <xf numFmtId="0" fontId="15" fillId="0" borderId="0" xfId="0" applyFont="1" applyFill="1" applyAlignment="1">
      <alignment horizontal="center" vertical="center"/>
    </xf>
    <xf numFmtId="0" fontId="7" fillId="0" borderId="0" xfId="0" applyFont="1" applyFill="1" applyBorder="1" applyAlignment="1">
      <alignment horizontal="right"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0" fontId="91" fillId="32" borderId="19" xfId="0" applyNumberFormat="1" applyFont="1" applyFill="1" applyBorder="1" applyAlignment="1">
      <alignment horizontal="center" vertical="center" wrapText="1"/>
    </xf>
    <xf numFmtId="0" fontId="91" fillId="32" borderId="24" xfId="0" applyNumberFormat="1" applyFont="1" applyFill="1" applyBorder="1" applyAlignment="1">
      <alignment horizontal="center" vertical="center" wrapText="1"/>
    </xf>
    <xf numFmtId="0" fontId="91" fillId="32" borderId="0" xfId="0" applyFont="1" applyFill="1" applyAlignment="1">
      <alignment horizontal="right" vertical="center"/>
    </xf>
    <xf numFmtId="0" fontId="100" fillId="32" borderId="0" xfId="0" applyFont="1" applyFill="1" applyAlignment="1">
      <alignment horizontal="center" vertical="center"/>
    </xf>
    <xf numFmtId="0" fontId="84" fillId="32" borderId="0" xfId="0" applyFont="1" applyFill="1" applyBorder="1" applyAlignment="1">
      <alignment horizontal="right" vertical="center"/>
    </xf>
    <xf numFmtId="0" fontId="91" fillId="32" borderId="11" xfId="0" applyNumberFormat="1" applyFont="1" applyFill="1" applyBorder="1" applyAlignment="1">
      <alignment horizontal="center" vertical="center" wrapText="1"/>
    </xf>
    <xf numFmtId="0" fontId="103" fillId="32" borderId="11" xfId="0" applyFont="1" applyFill="1" applyBorder="1" applyAlignment="1">
      <alignment horizontal="center" vertical="center" wrapText="1"/>
    </xf>
    <xf numFmtId="0" fontId="103" fillId="32" borderId="11" xfId="0" applyFont="1" applyFill="1" applyBorder="1" applyAlignment="1">
      <alignment horizontal="center" vertical="center"/>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4" fillId="0" borderId="20" xfId="0" applyFont="1" applyBorder="1" applyAlignment="1">
      <alignment horizontal="right" vertical="center"/>
    </xf>
    <xf numFmtId="0" fontId="13" fillId="32" borderId="11" xfId="0" applyFont="1" applyFill="1" applyBorder="1" applyAlignment="1">
      <alignment horizontal="center" vertical="center" wrapText="1"/>
    </xf>
    <xf numFmtId="0" fontId="13" fillId="32" borderId="11" xfId="0" applyFont="1" applyFill="1" applyBorder="1" applyAlignment="1">
      <alignment horizontal="center" vertical="center"/>
    </xf>
    <xf numFmtId="0" fontId="13" fillId="32" borderId="11" xfId="63" applyFont="1" applyFill="1" applyBorder="1" applyAlignment="1">
      <alignment horizontal="center" vertical="center" wrapText="1"/>
      <protection/>
    </xf>
    <xf numFmtId="0" fontId="6" fillId="32" borderId="11" xfId="63" applyFont="1" applyFill="1" applyBorder="1" applyAlignment="1">
      <alignment horizontal="center" vertical="center" wrapText="1"/>
      <protection/>
    </xf>
    <xf numFmtId="0" fontId="15" fillId="32" borderId="0" xfId="67" applyNumberFormat="1" applyFont="1" applyFill="1" applyBorder="1" applyAlignment="1">
      <alignment horizontal="center" vertical="center" wrapText="1"/>
    </xf>
    <xf numFmtId="0" fontId="9" fillId="32" borderId="0" xfId="63" applyFont="1" applyFill="1" applyBorder="1" applyAlignment="1">
      <alignment horizontal="center" vertical="center"/>
      <protection/>
    </xf>
    <xf numFmtId="0" fontId="6" fillId="32" borderId="0" xfId="63" applyFont="1" applyFill="1" applyAlignment="1">
      <alignment horizontal="right" vertical="center"/>
      <protection/>
    </xf>
    <xf numFmtId="0" fontId="7" fillId="32" borderId="0" xfId="63" applyFont="1" applyFill="1" applyBorder="1" applyAlignment="1">
      <alignment horizontal="right" vertical="center"/>
      <protection/>
    </xf>
    <xf numFmtId="0" fontId="11" fillId="0" borderId="0" xfId="63" applyFont="1" applyFill="1" applyAlignment="1">
      <alignment horizontal="center" vertical="center"/>
      <protection/>
    </xf>
    <xf numFmtId="0" fontId="6" fillId="0" borderId="11" xfId="63" applyFont="1" applyFill="1" applyBorder="1" applyAlignment="1">
      <alignment horizontal="center" vertical="center" wrapText="1"/>
      <protection/>
    </xf>
    <xf numFmtId="0" fontId="6" fillId="0" borderId="19" xfId="63" applyFont="1" applyFill="1" applyBorder="1" applyAlignment="1">
      <alignment horizontal="center" vertical="center" wrapText="1"/>
      <protection/>
    </xf>
    <xf numFmtId="0" fontId="6" fillId="0" borderId="15" xfId="63" applyFont="1" applyFill="1" applyBorder="1" applyAlignment="1">
      <alignment horizontal="center" vertical="center" wrapText="1"/>
      <protection/>
    </xf>
    <xf numFmtId="0" fontId="6" fillId="0" borderId="24" xfId="63" applyFont="1" applyFill="1" applyBorder="1" applyAlignment="1">
      <alignment horizontal="center" vertical="center" wrapText="1"/>
      <protection/>
    </xf>
    <xf numFmtId="0" fontId="6" fillId="0" borderId="11" xfId="63" applyFont="1" applyFill="1" applyBorder="1" applyAlignment="1">
      <alignment horizontal="center" vertical="center"/>
      <protection/>
    </xf>
    <xf numFmtId="0" fontId="0" fillId="0" borderId="11" xfId="0" applyFont="1" applyFill="1" applyBorder="1" applyAlignment="1">
      <alignment vertical="center"/>
    </xf>
    <xf numFmtId="0" fontId="36" fillId="32" borderId="0" xfId="0" applyFont="1" applyFill="1" applyBorder="1" applyAlignment="1">
      <alignment horizontal="center" vertical="center"/>
    </xf>
    <xf numFmtId="197" fontId="13" fillId="32" borderId="11" xfId="68" applyNumberFormat="1" applyFont="1" applyFill="1" applyBorder="1" applyAlignment="1">
      <alignment horizontal="center" vertical="center" wrapText="1"/>
      <protection/>
    </xf>
    <xf numFmtId="0" fontId="11" fillId="32" borderId="0" xfId="0" applyFont="1" applyFill="1" applyAlignment="1">
      <alignment horizontal="center" vertical="center"/>
    </xf>
    <xf numFmtId="0" fontId="7" fillId="32" borderId="0" xfId="0" applyFont="1" applyFill="1" applyBorder="1" applyAlignment="1">
      <alignment horizontal="right" vertical="center"/>
    </xf>
    <xf numFmtId="0" fontId="6" fillId="32" borderId="0" xfId="0" applyFont="1" applyFill="1" applyAlignment="1">
      <alignment horizontal="right"/>
    </xf>
    <xf numFmtId="0" fontId="8" fillId="32" borderId="0" xfId="0" applyFont="1" applyFill="1" applyAlignment="1">
      <alignment horizontal="center" wrapText="1"/>
    </xf>
    <xf numFmtId="0" fontId="15" fillId="32" borderId="0" xfId="0" applyFont="1" applyFill="1" applyAlignment="1">
      <alignment horizontal="center" wrapText="1"/>
    </xf>
    <xf numFmtId="0" fontId="7" fillId="32" borderId="0" xfId="0" applyFont="1" applyFill="1" applyBorder="1" applyAlignment="1">
      <alignment horizontal="right"/>
    </xf>
    <xf numFmtId="0" fontId="39" fillId="32" borderId="0" xfId="0" applyFont="1" applyFill="1" applyBorder="1" applyAlignment="1">
      <alignment horizontal="left" vertical="center" wrapText="1"/>
    </xf>
    <xf numFmtId="0" fontId="6" fillId="32" borderId="19" xfId="69" applyFont="1" applyFill="1" applyBorder="1" applyAlignment="1">
      <alignment horizontal="center" vertical="center" wrapText="1"/>
      <protection/>
    </xf>
    <xf numFmtId="0" fontId="6" fillId="32" borderId="15" xfId="69" applyFont="1" applyFill="1" applyBorder="1" applyAlignment="1">
      <alignment horizontal="center" vertical="center" wrapText="1"/>
      <protection/>
    </xf>
    <xf numFmtId="0" fontId="6" fillId="32" borderId="24" xfId="69" applyFont="1" applyFill="1" applyBorder="1" applyAlignment="1">
      <alignment horizontal="center" vertical="center" wrapText="1"/>
      <protection/>
    </xf>
    <xf numFmtId="0" fontId="6" fillId="32" borderId="25" xfId="69" applyFont="1" applyFill="1" applyBorder="1" applyAlignment="1">
      <alignment horizontal="center" vertical="center" wrapText="1"/>
      <protection/>
    </xf>
    <xf numFmtId="0" fontId="6" fillId="32" borderId="26" xfId="69" applyFont="1" applyFill="1" applyBorder="1" applyAlignment="1">
      <alignment horizontal="center" vertical="center" wrapText="1"/>
      <protection/>
    </xf>
    <xf numFmtId="0" fontId="6" fillId="32" borderId="27" xfId="69" applyFont="1" applyFill="1" applyBorder="1" applyAlignment="1">
      <alignment horizontal="center" vertical="center" wrapText="1"/>
      <protection/>
    </xf>
    <xf numFmtId="0" fontId="6" fillId="32" borderId="11" xfId="69" applyFont="1" applyFill="1" applyBorder="1" applyAlignment="1">
      <alignment horizontal="center" vertical="center" wrapText="1"/>
      <protection/>
    </xf>
    <xf numFmtId="0" fontId="29" fillId="32" borderId="0" xfId="0" applyFont="1" applyFill="1" applyAlignment="1">
      <alignment horizontal="right" vertical="center"/>
    </xf>
    <xf numFmtId="0" fontId="8" fillId="32" borderId="0" xfId="69" applyNumberFormat="1" applyFont="1" applyFill="1" applyAlignment="1">
      <alignment horizontal="center" vertical="center" wrapText="1"/>
      <protection/>
    </xf>
    <xf numFmtId="0" fontId="7" fillId="32" borderId="20" xfId="64" applyFont="1" applyFill="1" applyBorder="1" applyAlignment="1">
      <alignment horizontal="right" vertical="center"/>
      <protection/>
    </xf>
    <xf numFmtId="0" fontId="6" fillId="32" borderId="11" xfId="69" applyFont="1" applyFill="1" applyBorder="1" applyAlignment="1">
      <alignment horizontal="center" vertical="center"/>
      <protection/>
    </xf>
    <xf numFmtId="0" fontId="15" fillId="32" borderId="0" xfId="69" applyNumberFormat="1" applyFont="1" applyFill="1" applyAlignment="1">
      <alignment horizontal="center" vertical="center" wrapText="1"/>
      <protection/>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6" fillId="0" borderId="20" xfId="0" applyFont="1" applyBorder="1" applyAlignment="1">
      <alignment horizontal="center" vertical="center" wrapText="1"/>
    </xf>
    <xf numFmtId="0" fontId="95" fillId="32" borderId="28" xfId="0" applyFont="1" applyFill="1" applyBorder="1" applyAlignment="1">
      <alignment horizontal="center" vertical="center"/>
    </xf>
    <xf numFmtId="0" fontId="95" fillId="32" borderId="28" xfId="0" applyFont="1" applyFill="1" applyBorder="1" applyAlignment="1">
      <alignment vertical="center"/>
    </xf>
    <xf numFmtId="3" fontId="95" fillId="32" borderId="28" xfId="0" applyNumberFormat="1" applyFont="1" applyFill="1" applyBorder="1" applyAlignment="1">
      <alignment vertical="center"/>
    </xf>
    <xf numFmtId="0" fontId="7" fillId="32" borderId="28" xfId="0" applyFont="1" applyFill="1" applyBorder="1" applyAlignment="1">
      <alignment horizontal="center" vertical="center"/>
    </xf>
    <xf numFmtId="0" fontId="7" fillId="32" borderId="28" xfId="0" applyFont="1" applyFill="1" applyBorder="1" applyAlignment="1">
      <alignment vertical="center"/>
    </xf>
    <xf numFmtId="3" fontId="7" fillId="32" borderId="28" xfId="0" applyNumberFormat="1" applyFont="1" applyFill="1" applyBorder="1" applyAlignment="1">
      <alignment vertical="center"/>
    </xf>
    <xf numFmtId="188" fontId="7" fillId="32" borderId="28" xfId="0" applyNumberFormat="1" applyFont="1" applyFill="1" applyBorder="1" applyAlignment="1">
      <alignment vertical="center"/>
    </xf>
    <xf numFmtId="0" fontId="84" fillId="32" borderId="28" xfId="0" applyFont="1" applyFill="1" applyBorder="1" applyAlignment="1">
      <alignment horizontal="center" vertical="center"/>
    </xf>
    <xf numFmtId="0" fontId="84" fillId="32" borderId="28" xfId="60" applyFont="1" applyFill="1" applyBorder="1" applyAlignment="1">
      <alignment vertical="center" wrapText="1"/>
      <protection/>
    </xf>
    <xf numFmtId="3" fontId="84" fillId="32" borderId="28" xfId="0" applyNumberFormat="1" applyFont="1" applyFill="1" applyBorder="1" applyAlignment="1">
      <alignment vertical="center"/>
    </xf>
    <xf numFmtId="188" fontId="84" fillId="32" borderId="28" xfId="0" applyNumberFormat="1" applyFont="1" applyFill="1" applyBorder="1" applyAlignment="1">
      <alignment vertical="center"/>
    </xf>
    <xf numFmtId="0" fontId="84" fillId="32" borderId="28" xfId="0" applyFont="1" applyFill="1" applyBorder="1" applyAlignment="1">
      <alignment vertical="center"/>
    </xf>
    <xf numFmtId="200" fontId="84" fillId="32" borderId="28" xfId="41" applyNumberFormat="1" applyFont="1" applyFill="1" applyBorder="1" applyAlignment="1">
      <alignment vertical="center"/>
    </xf>
    <xf numFmtId="201" fontId="84" fillId="32" borderId="28" xfId="73" applyNumberFormat="1" applyFont="1" applyFill="1" applyBorder="1" applyAlignment="1">
      <alignment vertical="center"/>
    </xf>
    <xf numFmtId="0" fontId="22" fillId="32" borderId="0" xfId="0" applyFont="1" applyFill="1" applyBorder="1" applyAlignment="1">
      <alignment horizontal="center" vertical="center" wrapText="1"/>
    </xf>
    <xf numFmtId="0" fontId="7" fillId="32" borderId="0" xfId="0" applyFont="1" applyFill="1" applyBorder="1" applyAlignment="1">
      <alignment horizontal="left" vertical="top" wrapText="1"/>
    </xf>
    <xf numFmtId="0" fontId="35" fillId="32" borderId="0" xfId="0" applyFont="1" applyFill="1" applyBorder="1" applyAlignment="1">
      <alignment/>
    </xf>
    <xf numFmtId="3" fontId="7" fillId="32" borderId="28" xfId="0" applyNumberFormat="1" applyFont="1" applyFill="1" applyBorder="1" applyAlignment="1">
      <alignment horizontal="center" vertical="center"/>
    </xf>
    <xf numFmtId="9" fontId="7" fillId="32" borderId="28" xfId="73" applyFont="1" applyFill="1" applyBorder="1" applyAlignment="1">
      <alignment vertical="center"/>
    </xf>
    <xf numFmtId="3" fontId="7" fillId="0" borderId="28" xfId="0" applyNumberFormat="1" applyFont="1" applyFill="1" applyBorder="1" applyAlignment="1">
      <alignment horizontal="center" vertical="center"/>
    </xf>
    <xf numFmtId="3" fontId="7" fillId="0" borderId="28" xfId="0" applyNumberFormat="1" applyFont="1" applyFill="1" applyBorder="1" applyAlignment="1">
      <alignment vertical="center"/>
    </xf>
    <xf numFmtId="200" fontId="7" fillId="0" borderId="28" xfId="41" applyNumberFormat="1" applyFont="1" applyFill="1" applyBorder="1" applyAlignment="1">
      <alignment vertical="center"/>
    </xf>
    <xf numFmtId="0" fontId="91" fillId="32" borderId="28" xfId="0" applyFont="1" applyFill="1" applyBorder="1" applyAlignment="1">
      <alignment horizontal="center" vertical="center"/>
    </xf>
    <xf numFmtId="0" fontId="91" fillId="32" borderId="28" xfId="0" applyFont="1" applyFill="1" applyBorder="1" applyAlignment="1">
      <alignment vertical="center"/>
    </xf>
    <xf numFmtId="3" fontId="101" fillId="32" borderId="28" xfId="0" applyNumberFormat="1" applyFont="1" applyFill="1" applyBorder="1" applyAlignment="1">
      <alignment vertical="center"/>
    </xf>
    <xf numFmtId="3" fontId="91" fillId="32" borderId="28" xfId="0" applyNumberFormat="1" applyFont="1" applyFill="1" applyBorder="1" applyAlignment="1">
      <alignment horizontal="right" vertical="center"/>
    </xf>
    <xf numFmtId="0" fontId="103" fillId="32" borderId="24" xfId="0" applyFont="1" applyFill="1" applyBorder="1" applyAlignment="1">
      <alignment horizontal="center" vertical="center"/>
    </xf>
    <xf numFmtId="0" fontId="103" fillId="32" borderId="24" xfId="0" applyFont="1" applyFill="1" applyBorder="1" applyAlignment="1">
      <alignment vertical="center"/>
    </xf>
    <xf numFmtId="3" fontId="103" fillId="32" borderId="24" xfId="0" applyNumberFormat="1" applyFont="1" applyFill="1" applyBorder="1" applyAlignment="1">
      <alignment vertical="center"/>
    </xf>
    <xf numFmtId="3" fontId="94" fillId="32" borderId="24" xfId="0" applyNumberFormat="1" applyFont="1" applyFill="1" applyBorder="1" applyAlignment="1">
      <alignment vertical="center"/>
    </xf>
    <xf numFmtId="0" fontId="103" fillId="32" borderId="28" xfId="0" applyFont="1" applyFill="1" applyBorder="1" applyAlignment="1">
      <alignment horizontal="center" vertical="center"/>
    </xf>
    <xf numFmtId="0" fontId="103" fillId="32" borderId="28" xfId="0" applyFont="1" applyFill="1" applyBorder="1" applyAlignment="1">
      <alignment vertical="center"/>
    </xf>
    <xf numFmtId="3" fontId="103" fillId="32" borderId="28" xfId="0" applyNumberFormat="1" applyFont="1" applyFill="1" applyBorder="1" applyAlignment="1">
      <alignment vertical="center"/>
    </xf>
    <xf numFmtId="3" fontId="94" fillId="32" borderId="28" xfId="0" applyNumberFormat="1" applyFont="1" applyFill="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3" fontId="24" fillId="0" borderId="28" xfId="0" applyNumberFormat="1" applyFont="1" applyBorder="1" applyAlignment="1">
      <alignment vertical="center"/>
    </xf>
    <xf numFmtId="3" fontId="6" fillId="32" borderId="28" xfId="0" applyNumberFormat="1" applyFont="1" applyFill="1" applyBorder="1" applyAlignment="1">
      <alignment vertical="center"/>
    </xf>
    <xf numFmtId="0" fontId="20" fillId="32" borderId="28" xfId="63" applyFont="1" applyFill="1" applyBorder="1" applyAlignment="1">
      <alignment horizontal="center" vertical="center"/>
      <protection/>
    </xf>
    <xf numFmtId="3" fontId="20" fillId="32" borderId="28" xfId="0" applyNumberFormat="1" applyFont="1" applyFill="1" applyBorder="1" applyAlignment="1">
      <alignment vertical="center" wrapText="1"/>
    </xf>
    <xf numFmtId="3" fontId="20" fillId="32" borderId="28" xfId="63" applyNumberFormat="1" applyFont="1" applyFill="1" applyBorder="1" applyAlignment="1">
      <alignment vertical="center"/>
      <protection/>
    </xf>
    <xf numFmtId="3" fontId="20" fillId="32" borderId="28" xfId="41" applyNumberFormat="1" applyFont="1" applyFill="1" applyBorder="1" applyAlignment="1">
      <alignment horizontal="right" vertical="center" wrapText="1"/>
    </xf>
    <xf numFmtId="3" fontId="24" fillId="0" borderId="28" xfId="0" applyNumberFormat="1" applyFont="1" applyFill="1" applyBorder="1" applyAlignment="1">
      <alignment horizontal="center" vertical="center"/>
    </xf>
    <xf numFmtId="3" fontId="24" fillId="0" borderId="28" xfId="0" applyNumberFormat="1" applyFont="1" applyFill="1" applyBorder="1" applyAlignment="1">
      <alignment vertical="center"/>
    </xf>
    <xf numFmtId="200" fontId="24" fillId="0" borderId="28" xfId="41" applyNumberFormat="1" applyFont="1" applyFill="1" applyBorder="1" applyAlignment="1">
      <alignment vertical="center"/>
    </xf>
    <xf numFmtId="3" fontId="20" fillId="32" borderId="28" xfId="0" applyNumberFormat="1" applyFont="1" applyFill="1" applyBorder="1" applyAlignment="1">
      <alignment horizontal="center" vertical="center"/>
    </xf>
    <xf numFmtId="3" fontId="20" fillId="32" borderId="28" xfId="0" applyNumberFormat="1" applyFont="1" applyFill="1" applyBorder="1" applyAlignment="1">
      <alignment vertical="center"/>
    </xf>
    <xf numFmtId="200" fontId="20" fillId="32" borderId="28" xfId="41" applyNumberFormat="1" applyFont="1" applyFill="1" applyBorder="1" applyAlignment="1">
      <alignment vertical="center"/>
    </xf>
    <xf numFmtId="204" fontId="7" fillId="32" borderId="28" xfId="41" applyNumberFormat="1" applyFont="1" applyFill="1" applyBorder="1" applyAlignment="1">
      <alignment vertical="center"/>
    </xf>
    <xf numFmtId="200" fontId="7" fillId="32" borderId="28" xfId="41" applyNumberFormat="1" applyFont="1" applyFill="1" applyBorder="1" applyAlignment="1">
      <alignment vertical="center"/>
    </xf>
    <xf numFmtId="0" fontId="7" fillId="32" borderId="28" xfId="0" applyFont="1" applyFill="1" applyBorder="1" applyAlignment="1">
      <alignment horizontal="center" vertical="center" wrapText="1"/>
    </xf>
    <xf numFmtId="3" fontId="7" fillId="32" borderId="28" xfId="0" applyNumberFormat="1" applyFont="1" applyFill="1" applyBorder="1" applyAlignment="1">
      <alignment/>
    </xf>
    <xf numFmtId="3" fontId="7" fillId="32" borderId="28" xfId="41" applyNumberFormat="1" applyFont="1" applyFill="1" applyBorder="1" applyAlignment="1">
      <alignment horizontal="right" vertical="center" wrapText="1"/>
    </xf>
    <xf numFmtId="3" fontId="7" fillId="32" borderId="28" xfId="41" applyNumberFormat="1" applyFont="1" applyFill="1" applyBorder="1" applyAlignment="1">
      <alignment horizontal="right"/>
    </xf>
    <xf numFmtId="0" fontId="7" fillId="32" borderId="28" xfId="69" applyFont="1" applyFill="1" applyBorder="1" applyAlignment="1">
      <alignment horizontal="center" vertical="center"/>
      <protection/>
    </xf>
    <xf numFmtId="0" fontId="7" fillId="32" borderId="28" xfId="69" applyFont="1" applyFill="1" applyBorder="1" applyAlignment="1">
      <alignment vertical="center"/>
      <protection/>
    </xf>
    <xf numFmtId="4" fontId="7" fillId="32" borderId="28" xfId="43" applyNumberFormat="1" applyFont="1" applyFill="1" applyBorder="1" applyAlignment="1">
      <alignment vertical="center"/>
    </xf>
    <xf numFmtId="197" fontId="7" fillId="0" borderId="28" xfId="68" applyNumberFormat="1" applyFont="1" applyFill="1" applyBorder="1" applyAlignment="1">
      <alignment horizontal="center" vertical="center"/>
      <protection/>
    </xf>
    <xf numFmtId="197" fontId="7" fillId="0" borderId="28" xfId="68" applyNumberFormat="1" applyFont="1" applyFill="1" applyBorder="1" applyAlignment="1" applyProtection="1">
      <alignment horizontal="left" vertical="center"/>
      <protection/>
    </xf>
    <xf numFmtId="3" fontId="7" fillId="0" borderId="28" xfId="68" applyNumberFormat="1" applyFont="1" applyFill="1" applyBorder="1" applyAlignment="1">
      <alignment vertical="center"/>
      <protection/>
    </xf>
    <xf numFmtId="3" fontId="7" fillId="0" borderId="28" xfId="41" applyNumberFormat="1" applyFont="1" applyFill="1" applyBorder="1" applyAlignment="1">
      <alignment vertical="center"/>
    </xf>
    <xf numFmtId="4" fontId="7" fillId="0" borderId="28" xfId="41" applyNumberFormat="1" applyFont="1" applyFill="1" applyBorder="1" applyAlignment="1">
      <alignment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2" xfId="43"/>
    <cellStyle name="Comma 28" xfId="44"/>
    <cellStyle name="Currency" xfId="45"/>
    <cellStyle name="Currency [0]" xfId="46"/>
    <cellStyle name="Check Cell" xfId="47"/>
    <cellStyle name="Explanatory Text" xfId="48"/>
    <cellStyle name="Followed Hyperlink" xfId="49"/>
    <cellStyle name="Good" xfId="50"/>
    <cellStyle name="HAI" xfId="51"/>
    <cellStyle name="Heading 1" xfId="52"/>
    <cellStyle name="Heading 2" xfId="53"/>
    <cellStyle name="Heading 3" xfId="54"/>
    <cellStyle name="Heading 4" xfId="55"/>
    <cellStyle name="Hyperlink" xfId="56"/>
    <cellStyle name="Input" xfId="57"/>
    <cellStyle name="Linked Cell" xfId="58"/>
    <cellStyle name="Neutral" xfId="59"/>
    <cellStyle name="Normal 11" xfId="60"/>
    <cellStyle name="Normal 11 3" xfId="61"/>
    <cellStyle name="Normal 16" xfId="62"/>
    <cellStyle name="Normal 2" xfId="63"/>
    <cellStyle name="Normal 2 2" xfId="64"/>
    <cellStyle name="Normal 22" xfId="65"/>
    <cellStyle name="Normal 3" xfId="66"/>
    <cellStyle name="Normal 3 4" xfId="67"/>
    <cellStyle name="Normal 4" xfId="68"/>
    <cellStyle name="Normal 5" xfId="69"/>
    <cellStyle name="Normal_Chi NSTW NSDP 2002 - PL"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GHI%20QUYET%20BI&#7874;U%20K&#200;M%20NQ%20DT%20V&#192;%20PBNS%202022_18.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5"/>
      <sheetName val="PL16"/>
      <sheetName val="PL17"/>
      <sheetName val="PL30"/>
      <sheetName val="PL32-NSX"/>
      <sheetName val="PL33"/>
      <sheetName val="PL34"/>
      <sheetName val="PL35"/>
      <sheetName val="PL36"/>
      <sheetName val="PL37"/>
      <sheetName val="PL39-NSX"/>
      <sheetName val="PL41-NSX"/>
    </sheetNames>
    <sheetDataSet>
      <sheetData sheetId="8">
        <row r="11">
          <cell r="C11">
            <v>36994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I45"/>
  <sheetViews>
    <sheetView view="pageBreakPreview" zoomScale="60" zoomScaleNormal="80" zoomScalePageLayoutView="0" workbookViewId="0" topLeftCell="A4">
      <selection activeCell="A30" sqref="A30:G30"/>
    </sheetView>
  </sheetViews>
  <sheetFormatPr defaultColWidth="8.796875" defaultRowHeight="15"/>
  <cols>
    <col min="1" max="1" width="6" style="67" customWidth="1"/>
    <col min="2" max="2" width="48.3984375" style="67" customWidth="1"/>
    <col min="3" max="3" width="11.19921875" style="67" customWidth="1"/>
    <col min="4" max="4" width="11.8984375" style="67" customWidth="1"/>
    <col min="5" max="5" width="12.09765625" style="111" customWidth="1"/>
    <col min="6" max="6" width="10.69921875" style="67" customWidth="1"/>
    <col min="7" max="7" width="8.5" style="67" customWidth="1"/>
    <col min="8" max="8" width="10.09765625" style="67" customWidth="1"/>
    <col min="9" max="16384" width="9" style="67" customWidth="1"/>
  </cols>
  <sheetData>
    <row r="1" spans="1:7" ht="27.75" customHeight="1">
      <c r="A1" s="261"/>
      <c r="B1" s="262"/>
      <c r="C1" s="263"/>
      <c r="D1" s="263"/>
      <c r="E1" s="263"/>
      <c r="F1" s="264"/>
      <c r="G1" s="265" t="s">
        <v>232</v>
      </c>
    </row>
    <row r="2" spans="1:7" ht="30.75" customHeight="1">
      <c r="A2" s="361" t="s">
        <v>301</v>
      </c>
      <c r="B2" s="361"/>
      <c r="C2" s="361"/>
      <c r="D2" s="361"/>
      <c r="E2" s="361"/>
      <c r="F2" s="361"/>
      <c r="G2" s="361"/>
    </row>
    <row r="3" spans="1:7" ht="27" customHeight="1">
      <c r="A3" s="364" t="s">
        <v>302</v>
      </c>
      <c r="B3" s="364"/>
      <c r="C3" s="364"/>
      <c r="D3" s="364"/>
      <c r="E3" s="364"/>
      <c r="F3" s="364"/>
      <c r="G3" s="364"/>
    </row>
    <row r="4" spans="1:7" ht="27" customHeight="1">
      <c r="A4" s="266"/>
      <c r="B4" s="266"/>
      <c r="C4" s="267"/>
      <c r="D4" s="267"/>
      <c r="E4" s="362" t="s">
        <v>92</v>
      </c>
      <c r="F4" s="362"/>
      <c r="G4" s="362"/>
    </row>
    <row r="5" spans="1:7" s="105" customFormat="1" ht="21.75" customHeight="1">
      <c r="A5" s="363" t="s">
        <v>62</v>
      </c>
      <c r="B5" s="363" t="s">
        <v>6</v>
      </c>
      <c r="C5" s="360" t="s">
        <v>343</v>
      </c>
      <c r="D5" s="360" t="s">
        <v>270</v>
      </c>
      <c r="E5" s="360" t="s">
        <v>304</v>
      </c>
      <c r="F5" s="363" t="s">
        <v>231</v>
      </c>
      <c r="G5" s="363"/>
    </row>
    <row r="6" spans="1:7" s="105" customFormat="1" ht="21.75" customHeight="1">
      <c r="A6" s="363"/>
      <c r="B6" s="363"/>
      <c r="C6" s="360"/>
      <c r="D6" s="360"/>
      <c r="E6" s="360"/>
      <c r="F6" s="360" t="s">
        <v>93</v>
      </c>
      <c r="G6" s="360" t="s">
        <v>145</v>
      </c>
    </row>
    <row r="7" spans="1:7" s="105" customFormat="1" ht="26.25" customHeight="1">
      <c r="A7" s="363"/>
      <c r="B7" s="363"/>
      <c r="C7" s="360"/>
      <c r="D7" s="360"/>
      <c r="E7" s="360"/>
      <c r="F7" s="360"/>
      <c r="G7" s="360"/>
    </row>
    <row r="8" spans="1:7" s="32" customFormat="1" ht="17.25" customHeight="1">
      <c r="A8" s="268" t="s">
        <v>10</v>
      </c>
      <c r="B8" s="268" t="s">
        <v>11</v>
      </c>
      <c r="C8" s="268">
        <v>1</v>
      </c>
      <c r="D8" s="268">
        <f>C8+1</f>
        <v>2</v>
      </c>
      <c r="E8" s="268">
        <f>D8+1</f>
        <v>3</v>
      </c>
      <c r="F8" s="268">
        <f>E8+1</f>
        <v>4</v>
      </c>
      <c r="G8" s="268">
        <f>F8+1</f>
        <v>5</v>
      </c>
    </row>
    <row r="9" spans="1:7" s="104" customFormat="1" ht="41.25" customHeight="1">
      <c r="A9" s="269" t="s">
        <v>10</v>
      </c>
      <c r="B9" s="270" t="s">
        <v>104</v>
      </c>
      <c r="C9" s="271">
        <f>C10+C13+C17+C18+C19</f>
        <v>715818</v>
      </c>
      <c r="D9" s="271">
        <f>D10+D13+D17+D18+D19</f>
        <v>843041</v>
      </c>
      <c r="E9" s="271">
        <f>E10+E13+E17+E18+E19</f>
        <v>948814</v>
      </c>
      <c r="F9" s="271">
        <f>E9-D9</f>
        <v>105773</v>
      </c>
      <c r="G9" s="272">
        <f>E9/D9*100</f>
        <v>112.54660212255394</v>
      </c>
    </row>
    <row r="10" spans="1:7" s="104" customFormat="1" ht="30.75" customHeight="1">
      <c r="A10" s="269" t="s">
        <v>21</v>
      </c>
      <c r="B10" s="273" t="s">
        <v>57</v>
      </c>
      <c r="C10" s="271">
        <f>C11+C12</f>
        <v>51145</v>
      </c>
      <c r="D10" s="271">
        <f>D11+D12</f>
        <v>50210</v>
      </c>
      <c r="E10" s="271">
        <f>E11+E12</f>
        <v>50600</v>
      </c>
      <c r="F10" s="271">
        <f>E10-D10</f>
        <v>390</v>
      </c>
      <c r="G10" s="272">
        <f>E10/D10*100</f>
        <v>100.77673770165305</v>
      </c>
    </row>
    <row r="11" spans="1:7" s="104" customFormat="1" ht="30.75" customHeight="1">
      <c r="A11" s="274" t="s">
        <v>18</v>
      </c>
      <c r="B11" s="275" t="s">
        <v>58</v>
      </c>
      <c r="C11" s="276">
        <v>51145</v>
      </c>
      <c r="D11" s="276">
        <v>50210</v>
      </c>
      <c r="E11" s="276">
        <v>50600</v>
      </c>
      <c r="F11" s="276">
        <f>E11-D11</f>
        <v>390</v>
      </c>
      <c r="G11" s="277">
        <f>E11/D11*100</f>
        <v>100.77673770165305</v>
      </c>
    </row>
    <row r="12" spans="1:7" s="104" customFormat="1" ht="30.75" customHeight="1" hidden="1">
      <c r="A12" s="274" t="s">
        <v>18</v>
      </c>
      <c r="B12" s="275" t="s">
        <v>141</v>
      </c>
      <c r="C12" s="276"/>
      <c r="D12" s="276"/>
      <c r="E12" s="276"/>
      <c r="F12" s="271"/>
      <c r="G12" s="272"/>
    </row>
    <row r="13" spans="1:7" s="104" customFormat="1" ht="30.75" customHeight="1">
      <c r="A13" s="269" t="s">
        <v>22</v>
      </c>
      <c r="B13" s="273" t="s">
        <v>48</v>
      </c>
      <c r="C13" s="271">
        <f>C14+C16+C15</f>
        <v>664673</v>
      </c>
      <c r="D13" s="271">
        <f>D14+D16+D15</f>
        <v>752248</v>
      </c>
      <c r="E13" s="271">
        <f>E14+E16+E15</f>
        <v>898214</v>
      </c>
      <c r="F13" s="271">
        <f>E13-D13</f>
        <v>145966</v>
      </c>
      <c r="G13" s="272">
        <f>E13/D13*100</f>
        <v>119.40397315778839</v>
      </c>
    </row>
    <row r="14" spans="1:7" s="104" customFormat="1" ht="30.75" customHeight="1">
      <c r="A14" s="278">
        <v>1</v>
      </c>
      <c r="B14" s="275" t="s">
        <v>79</v>
      </c>
      <c r="C14" s="276">
        <v>664529</v>
      </c>
      <c r="D14" s="276">
        <v>664529</v>
      </c>
      <c r="E14" s="276">
        <v>684106</v>
      </c>
      <c r="F14" s="276">
        <f>E14-D14</f>
        <v>19577</v>
      </c>
      <c r="G14" s="277">
        <f>E14/D14*100</f>
        <v>102.94599633725541</v>
      </c>
    </row>
    <row r="15" spans="1:7" s="104" customFormat="1" ht="30.75" customHeight="1" hidden="1">
      <c r="A15" s="278"/>
      <c r="B15" s="275" t="s">
        <v>238</v>
      </c>
      <c r="C15" s="276"/>
      <c r="D15" s="276"/>
      <c r="E15" s="276"/>
      <c r="F15" s="276"/>
      <c r="G15" s="277"/>
    </row>
    <row r="16" spans="1:7" s="104" customFormat="1" ht="30.75" customHeight="1">
      <c r="A16" s="278">
        <v>2</v>
      </c>
      <c r="B16" s="275" t="s">
        <v>90</v>
      </c>
      <c r="C16" s="276">
        <v>144</v>
      </c>
      <c r="D16" s="276">
        <v>87719</v>
      </c>
      <c r="E16" s="276">
        <v>214108</v>
      </c>
      <c r="F16" s="276">
        <f>E16-D16</f>
        <v>126389</v>
      </c>
      <c r="G16" s="277">
        <f>E16/D16*100</f>
        <v>244.0839498854296</v>
      </c>
    </row>
    <row r="17" spans="1:7" s="104" customFormat="1" ht="30.75" customHeight="1" hidden="1">
      <c r="A17" s="269" t="s">
        <v>23</v>
      </c>
      <c r="B17" s="273" t="s">
        <v>97</v>
      </c>
      <c r="C17" s="271"/>
      <c r="D17" s="271"/>
      <c r="E17" s="271"/>
      <c r="F17" s="271"/>
      <c r="G17" s="272"/>
    </row>
    <row r="18" spans="1:7" s="104" customFormat="1" ht="30.75" customHeight="1">
      <c r="A18" s="269" t="s">
        <v>23</v>
      </c>
      <c r="B18" s="273" t="s">
        <v>355</v>
      </c>
      <c r="C18" s="271"/>
      <c r="D18" s="271">
        <v>521</v>
      </c>
      <c r="E18" s="271"/>
      <c r="F18" s="271">
        <f aca="true" t="shared" si="0" ref="F18:F28">E18-D18</f>
        <v>-521</v>
      </c>
      <c r="G18" s="272">
        <f aca="true" t="shared" si="1" ref="G18:G28">E18/D18*100</f>
        <v>0</v>
      </c>
    </row>
    <row r="19" spans="1:7" s="104" customFormat="1" ht="30.75" customHeight="1">
      <c r="A19" s="269" t="s">
        <v>24</v>
      </c>
      <c r="B19" s="273" t="s">
        <v>74</v>
      </c>
      <c r="C19" s="271"/>
      <c r="D19" s="271">
        <v>40062</v>
      </c>
      <c r="E19" s="271"/>
      <c r="F19" s="271">
        <f t="shared" si="0"/>
        <v>-40062</v>
      </c>
      <c r="G19" s="272">
        <f t="shared" si="1"/>
        <v>0</v>
      </c>
    </row>
    <row r="20" spans="1:7" s="104" customFormat="1" ht="41.25" customHeight="1">
      <c r="A20" s="269" t="s">
        <v>11</v>
      </c>
      <c r="B20" s="273" t="s">
        <v>103</v>
      </c>
      <c r="C20" s="271">
        <f>C21+C26+C30</f>
        <v>715818</v>
      </c>
      <c r="D20" s="271">
        <f>D21+D26+D29+D30</f>
        <v>843041</v>
      </c>
      <c r="E20" s="271">
        <f>E21+E26+E30</f>
        <v>948814</v>
      </c>
      <c r="F20" s="271">
        <f t="shared" si="0"/>
        <v>105773</v>
      </c>
      <c r="G20" s="272">
        <f t="shared" si="1"/>
        <v>112.54660212255394</v>
      </c>
    </row>
    <row r="21" spans="1:7" s="104" customFormat="1" ht="30.75" customHeight="1">
      <c r="A21" s="269" t="s">
        <v>21</v>
      </c>
      <c r="B21" s="273" t="s">
        <v>60</v>
      </c>
      <c r="C21" s="271">
        <f>SUM(C22:C25)</f>
        <v>715674</v>
      </c>
      <c r="D21" s="271">
        <f>SUM(D22:D25)</f>
        <v>745346</v>
      </c>
      <c r="E21" s="271">
        <f>SUM(E22:E25)</f>
        <v>734706</v>
      </c>
      <c r="F21" s="271">
        <f t="shared" si="0"/>
        <v>-10640</v>
      </c>
      <c r="G21" s="272">
        <f t="shared" si="1"/>
        <v>98.5724750652717</v>
      </c>
    </row>
    <row r="22" spans="1:9" s="104" customFormat="1" ht="30.75" customHeight="1">
      <c r="A22" s="278">
        <v>1</v>
      </c>
      <c r="B22" s="275" t="s">
        <v>25</v>
      </c>
      <c r="C22" s="276">
        <v>40234</v>
      </c>
      <c r="D22" s="276">
        <v>40311</v>
      </c>
      <c r="E22" s="276">
        <v>36868</v>
      </c>
      <c r="F22" s="276">
        <f t="shared" si="0"/>
        <v>-3443</v>
      </c>
      <c r="G22" s="277">
        <f t="shared" si="1"/>
        <v>91.45890699808984</v>
      </c>
      <c r="H22" s="106"/>
      <c r="I22" s="106"/>
    </row>
    <row r="23" spans="1:9" s="104" customFormat="1" ht="30.75" customHeight="1">
      <c r="A23" s="278">
        <f>A22+1</f>
        <v>2</v>
      </c>
      <c r="B23" s="275" t="s">
        <v>27</v>
      </c>
      <c r="C23" s="276">
        <v>661207</v>
      </c>
      <c r="D23" s="276">
        <v>705035</v>
      </c>
      <c r="E23" s="276">
        <v>683144</v>
      </c>
      <c r="F23" s="276">
        <f t="shared" si="0"/>
        <v>-21891</v>
      </c>
      <c r="G23" s="277">
        <f t="shared" si="1"/>
        <v>96.8950477635862</v>
      </c>
      <c r="H23" s="106"/>
      <c r="I23" s="106"/>
    </row>
    <row r="24" spans="1:9" s="104" customFormat="1" ht="30.75" customHeight="1">
      <c r="A24" s="278">
        <v>3</v>
      </c>
      <c r="B24" s="275" t="s">
        <v>30</v>
      </c>
      <c r="C24" s="276">
        <v>14233</v>
      </c>
      <c r="D24" s="276"/>
      <c r="E24" s="276">
        <v>14694</v>
      </c>
      <c r="F24" s="276">
        <f t="shared" si="0"/>
        <v>14694</v>
      </c>
      <c r="G24" s="277"/>
      <c r="H24" s="106"/>
      <c r="I24" s="106"/>
    </row>
    <row r="25" spans="1:7" s="104" customFormat="1" ht="30.75" customHeight="1">
      <c r="A25" s="278">
        <v>4</v>
      </c>
      <c r="B25" s="275" t="s">
        <v>77</v>
      </c>
      <c r="C25" s="276">
        <v>0</v>
      </c>
      <c r="D25" s="276"/>
      <c r="E25" s="276"/>
      <c r="F25" s="276">
        <f>E25-D25</f>
        <v>0</v>
      </c>
      <c r="G25" s="277"/>
    </row>
    <row r="26" spans="1:7" s="104" customFormat="1" ht="30.75" customHeight="1">
      <c r="A26" s="269" t="s">
        <v>22</v>
      </c>
      <c r="B26" s="273" t="s">
        <v>105</v>
      </c>
      <c r="C26" s="271">
        <f>SUM(C27:C28)</f>
        <v>144</v>
      </c>
      <c r="D26" s="271">
        <f>SUM(D27:D28)</f>
        <v>47141</v>
      </c>
      <c r="E26" s="271">
        <f>SUM(E27:E28)</f>
        <v>214108</v>
      </c>
      <c r="F26" s="271">
        <f t="shared" si="0"/>
        <v>166967</v>
      </c>
      <c r="G26" s="272">
        <f t="shared" si="1"/>
        <v>454.1863770390955</v>
      </c>
    </row>
    <row r="27" spans="1:7" s="104" customFormat="1" ht="30.75" customHeight="1">
      <c r="A27" s="278">
        <v>1</v>
      </c>
      <c r="B27" s="275" t="s">
        <v>106</v>
      </c>
      <c r="C27" s="276">
        <v>0</v>
      </c>
      <c r="D27" s="276">
        <v>46894</v>
      </c>
      <c r="E27" s="276">
        <v>210875</v>
      </c>
      <c r="F27" s="276">
        <f t="shared" si="0"/>
        <v>163981</v>
      </c>
      <c r="G27" s="277">
        <f t="shared" si="1"/>
        <v>449.68439459205865</v>
      </c>
    </row>
    <row r="28" spans="1:7" s="104" customFormat="1" ht="30.75" customHeight="1">
      <c r="A28" s="278">
        <f>A27+1</f>
        <v>2</v>
      </c>
      <c r="B28" s="275" t="s">
        <v>218</v>
      </c>
      <c r="C28" s="276">
        <v>144</v>
      </c>
      <c r="D28" s="276">
        <v>247</v>
      </c>
      <c r="E28" s="276">
        <v>3233</v>
      </c>
      <c r="F28" s="276">
        <f t="shared" si="0"/>
        <v>2986</v>
      </c>
      <c r="G28" s="277">
        <f t="shared" si="1"/>
        <v>1308.906882591093</v>
      </c>
    </row>
    <row r="29" spans="1:7" s="107" customFormat="1" ht="30.75" customHeight="1">
      <c r="A29" s="269" t="s">
        <v>23</v>
      </c>
      <c r="B29" s="273" t="s">
        <v>235</v>
      </c>
      <c r="C29" s="271"/>
      <c r="D29" s="271">
        <v>897</v>
      </c>
      <c r="E29" s="271"/>
      <c r="F29" s="271"/>
      <c r="G29" s="272"/>
    </row>
    <row r="30" spans="1:7" s="104" customFormat="1" ht="33" customHeight="1" thickBot="1">
      <c r="A30" s="434" t="s">
        <v>24</v>
      </c>
      <c r="B30" s="435" t="s">
        <v>68</v>
      </c>
      <c r="C30" s="436"/>
      <c r="D30" s="436">
        <v>49657</v>
      </c>
      <c r="E30" s="436"/>
      <c r="F30" s="436"/>
      <c r="G30" s="436"/>
    </row>
    <row r="31" spans="1:7" ht="19.5" thickTop="1">
      <c r="A31" s="104"/>
      <c r="B31" s="108"/>
      <c r="C31" s="106"/>
      <c r="D31" s="106"/>
      <c r="E31" s="109"/>
      <c r="F31" s="104"/>
      <c r="G31" s="104"/>
    </row>
    <row r="32" spans="1:7" ht="11.25" customHeight="1">
      <c r="A32" s="104"/>
      <c r="B32" s="104"/>
      <c r="C32" s="104"/>
      <c r="D32" s="104"/>
      <c r="E32" s="110"/>
      <c r="F32" s="104"/>
      <c r="G32" s="104"/>
    </row>
    <row r="33" spans="1:7" ht="18.75">
      <c r="A33" s="104"/>
      <c r="B33" s="104"/>
      <c r="C33" s="104"/>
      <c r="D33" s="104"/>
      <c r="E33" s="110"/>
      <c r="F33" s="104"/>
      <c r="G33" s="104"/>
    </row>
    <row r="34" spans="1:7" ht="18.75">
      <c r="A34" s="104"/>
      <c r="B34" s="104"/>
      <c r="C34" s="104"/>
      <c r="D34" s="104"/>
      <c r="E34" s="110"/>
      <c r="F34" s="104"/>
      <c r="G34" s="104"/>
    </row>
    <row r="35" spans="1:7" ht="18.75">
      <c r="A35" s="104"/>
      <c r="B35" s="104"/>
      <c r="C35" s="104"/>
      <c r="D35" s="104"/>
      <c r="E35" s="110"/>
      <c r="F35" s="104"/>
      <c r="G35" s="104"/>
    </row>
    <row r="36" spans="1:7" ht="18.75">
      <c r="A36" s="104"/>
      <c r="B36" s="104"/>
      <c r="C36" s="104"/>
      <c r="D36" s="104"/>
      <c r="E36" s="110"/>
      <c r="F36" s="104"/>
      <c r="G36" s="104"/>
    </row>
    <row r="37" spans="1:7" ht="18.75">
      <c r="A37" s="104"/>
      <c r="B37" s="104"/>
      <c r="C37" s="104"/>
      <c r="D37" s="104"/>
      <c r="E37" s="110"/>
      <c r="F37" s="104"/>
      <c r="G37" s="104"/>
    </row>
    <row r="38" spans="1:7" ht="18.75">
      <c r="A38" s="104"/>
      <c r="B38" s="104"/>
      <c r="C38" s="104"/>
      <c r="D38" s="104"/>
      <c r="E38" s="110"/>
      <c r="F38" s="104"/>
      <c r="G38" s="104"/>
    </row>
    <row r="39" spans="1:7" ht="18.75">
      <c r="A39" s="104"/>
      <c r="B39" s="104"/>
      <c r="C39" s="104"/>
      <c r="D39" s="104"/>
      <c r="E39" s="110"/>
      <c r="F39" s="104"/>
      <c r="G39" s="104"/>
    </row>
    <row r="40" spans="1:7" ht="18.75">
      <c r="A40" s="104"/>
      <c r="B40" s="104"/>
      <c r="C40" s="104"/>
      <c r="D40" s="104"/>
      <c r="E40" s="110"/>
      <c r="F40" s="104"/>
      <c r="G40" s="104"/>
    </row>
    <row r="41" spans="1:7" ht="22.5" customHeight="1">
      <c r="A41" s="104"/>
      <c r="B41" s="104"/>
      <c r="C41" s="104"/>
      <c r="D41" s="104"/>
      <c r="E41" s="110"/>
      <c r="F41" s="104"/>
      <c r="G41" s="104"/>
    </row>
    <row r="42" spans="1:7" ht="18.75">
      <c r="A42" s="104"/>
      <c r="B42" s="104"/>
      <c r="C42" s="104"/>
      <c r="D42" s="104"/>
      <c r="E42" s="110"/>
      <c r="F42" s="104"/>
      <c r="G42" s="104"/>
    </row>
    <row r="43" spans="1:7" ht="18.75">
      <c r="A43" s="104"/>
      <c r="B43" s="104"/>
      <c r="C43" s="104"/>
      <c r="D43" s="104"/>
      <c r="E43" s="110"/>
      <c r="F43" s="104"/>
      <c r="G43" s="104"/>
    </row>
    <row r="44" spans="1:7" ht="18.75">
      <c r="A44" s="104"/>
      <c r="B44" s="104"/>
      <c r="C44" s="104"/>
      <c r="D44" s="104"/>
      <c r="E44" s="110"/>
      <c r="F44" s="104"/>
      <c r="G44" s="104"/>
    </row>
    <row r="45" spans="1:7" ht="18.75">
      <c r="A45" s="104"/>
      <c r="B45" s="104"/>
      <c r="C45" s="104"/>
      <c r="D45" s="104"/>
      <c r="E45" s="110"/>
      <c r="F45" s="104"/>
      <c r="G45" s="104"/>
    </row>
  </sheetData>
  <sheetProtection/>
  <mergeCells count="11">
    <mergeCell ref="E5:E7"/>
    <mergeCell ref="F6:F7"/>
    <mergeCell ref="G6:G7"/>
    <mergeCell ref="A2:G2"/>
    <mergeCell ref="E4:G4"/>
    <mergeCell ref="F5:G5"/>
    <mergeCell ref="B5:B7"/>
    <mergeCell ref="A3:G3"/>
    <mergeCell ref="A5:A7"/>
    <mergeCell ref="C5:C7"/>
    <mergeCell ref="D5:D7"/>
  </mergeCells>
  <printOptions horizontalCentered="1"/>
  <pageMargins left="0.56" right="0" top="0.69" bottom="0.17" header="0.17" footer="0.2"/>
  <pageSetup fitToHeight="0" fitToWidth="1" horizontalDpi="600" verticalDpi="600" orientation="portrait" paperSize="9" scale="82" r:id="rId1"/>
  <headerFooter alignWithMargins="0">
    <oddHeader xml:space="preserve">&amp;C                                                                                                                                  </oddHeader>
    <oddFooter>&amp;C&amp;".VnTime,Italic"&amp;8
</oddFooter>
  </headerFooter>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U23"/>
  <sheetViews>
    <sheetView view="pageBreakPreview" zoomScale="60" zoomScaleNormal="85" zoomScalePageLayoutView="0" workbookViewId="0" topLeftCell="A1">
      <selection activeCell="A15" sqref="A15:S15"/>
    </sheetView>
  </sheetViews>
  <sheetFormatPr defaultColWidth="8.796875" defaultRowHeight="15"/>
  <cols>
    <col min="1" max="1" width="6.19921875" style="3" customWidth="1"/>
    <col min="2" max="2" width="34.3984375" style="3" customWidth="1"/>
    <col min="3" max="4" width="11.69921875" style="3" customWidth="1"/>
    <col min="5" max="11" width="8.59765625" style="3" hidden="1" customWidth="1"/>
    <col min="12" max="12" width="11.3984375" style="3" hidden="1" customWidth="1"/>
    <col min="13" max="14" width="11.69921875" style="3" customWidth="1"/>
    <col min="15" max="15" width="11.59765625" style="3" hidden="1" customWidth="1"/>
    <col min="16" max="19" width="11.69921875" style="3" customWidth="1"/>
    <col min="20" max="21" width="9.19921875" style="3" customWidth="1"/>
    <col min="22" max="16384" width="9" style="3" customWidth="1"/>
  </cols>
  <sheetData>
    <row r="1" spans="1:19" ht="19.5" customHeight="1">
      <c r="A1" s="151"/>
      <c r="B1" s="151"/>
      <c r="C1" s="152"/>
      <c r="D1" s="152"/>
      <c r="E1" s="152"/>
      <c r="F1" s="152"/>
      <c r="G1" s="151"/>
      <c r="H1" s="151"/>
      <c r="I1" s="151"/>
      <c r="J1" s="151"/>
      <c r="K1" s="151"/>
      <c r="L1" s="152"/>
      <c r="M1" s="152"/>
      <c r="N1" s="152"/>
      <c r="O1" s="153"/>
      <c r="P1" s="154" t="s">
        <v>187</v>
      </c>
      <c r="Q1" s="153"/>
      <c r="R1" s="39"/>
      <c r="S1" s="39"/>
    </row>
    <row r="2" spans="1:19" ht="19.5" customHeight="1">
      <c r="A2" s="151" t="s">
        <v>153</v>
      </c>
      <c r="B2" s="151"/>
      <c r="C2" s="152"/>
      <c r="D2" s="152"/>
      <c r="E2" s="152"/>
      <c r="F2" s="152"/>
      <c r="G2" s="152"/>
      <c r="H2" s="152"/>
      <c r="I2" s="152"/>
      <c r="J2" s="152"/>
      <c r="K2" s="152"/>
      <c r="L2" s="152"/>
      <c r="M2" s="152"/>
      <c r="N2" s="152"/>
      <c r="O2" s="152"/>
      <c r="P2" s="152"/>
      <c r="Q2" s="152"/>
      <c r="R2" s="152"/>
      <c r="S2" s="152"/>
    </row>
    <row r="3" spans="1:19" ht="19.5" customHeight="1">
      <c r="A3" s="151" t="s">
        <v>363</v>
      </c>
      <c r="B3" s="151"/>
      <c r="C3" s="152"/>
      <c r="D3" s="152"/>
      <c r="E3" s="152"/>
      <c r="F3" s="152"/>
      <c r="G3" s="152"/>
      <c r="H3" s="152"/>
      <c r="I3" s="152"/>
      <c r="J3" s="152"/>
      <c r="K3" s="152"/>
      <c r="L3" s="152"/>
      <c r="M3" s="152"/>
      <c r="N3" s="152"/>
      <c r="O3" s="152"/>
      <c r="P3" s="152"/>
      <c r="Q3" s="152"/>
      <c r="R3" s="152"/>
      <c r="S3" s="152"/>
    </row>
    <row r="4" spans="1:19" s="4" customFormat="1" ht="19.5" customHeight="1">
      <c r="A4" s="155" t="str">
        <f>PL15!A3</f>
        <v>(Kèm theo Nghị quyết số       /NQ-HĐND ngày       tháng 12 năm 2022 của HĐND huyện Tuần Giáo)</v>
      </c>
      <c r="B4" s="156"/>
      <c r="C4" s="155"/>
      <c r="D4" s="155"/>
      <c r="E4" s="155"/>
      <c r="F4" s="155"/>
      <c r="G4" s="155"/>
      <c r="H4" s="155"/>
      <c r="I4" s="155"/>
      <c r="J4" s="155"/>
      <c r="K4" s="155"/>
      <c r="L4" s="155"/>
      <c r="M4" s="155"/>
      <c r="N4" s="155"/>
      <c r="O4" s="155"/>
      <c r="P4" s="155"/>
      <c r="Q4" s="155"/>
      <c r="R4" s="155"/>
      <c r="S4" s="155"/>
    </row>
    <row r="5" spans="1:19" ht="26.25" customHeight="1">
      <c r="A5" s="157"/>
      <c r="B5" s="157"/>
      <c r="C5" s="153"/>
      <c r="D5" s="153"/>
      <c r="E5" s="153"/>
      <c r="F5" s="153"/>
      <c r="G5" s="158"/>
      <c r="H5" s="158"/>
      <c r="I5" s="158"/>
      <c r="J5" s="158"/>
      <c r="K5" s="158"/>
      <c r="L5" s="158"/>
      <c r="M5" s="158"/>
      <c r="N5" s="158"/>
      <c r="O5" s="158"/>
      <c r="P5" s="153"/>
      <c r="Q5" s="153"/>
      <c r="R5" s="394" t="s">
        <v>92</v>
      </c>
      <c r="S5" s="394"/>
    </row>
    <row r="6" spans="1:19" ht="21.75" customHeight="1">
      <c r="A6" s="392" t="s">
        <v>62</v>
      </c>
      <c r="B6" s="393" t="s">
        <v>32</v>
      </c>
      <c r="C6" s="393" t="s">
        <v>81</v>
      </c>
      <c r="D6" s="392" t="s">
        <v>67</v>
      </c>
      <c r="E6" s="392" t="s">
        <v>51</v>
      </c>
      <c r="F6" s="392" t="s">
        <v>110</v>
      </c>
      <c r="G6" s="392" t="s">
        <v>111</v>
      </c>
      <c r="H6" s="392" t="s">
        <v>112</v>
      </c>
      <c r="I6" s="392" t="s">
        <v>113</v>
      </c>
      <c r="J6" s="392" t="s">
        <v>114</v>
      </c>
      <c r="K6" s="392" t="s">
        <v>115</v>
      </c>
      <c r="L6" s="392" t="s">
        <v>116</v>
      </c>
      <c r="M6" s="392" t="s">
        <v>117</v>
      </c>
      <c r="N6" s="392" t="s">
        <v>33</v>
      </c>
      <c r="O6" s="392"/>
      <c r="P6" s="392"/>
      <c r="Q6" s="392" t="s">
        <v>118</v>
      </c>
      <c r="R6" s="392" t="s">
        <v>119</v>
      </c>
      <c r="S6" s="392" t="s">
        <v>120</v>
      </c>
    </row>
    <row r="7" spans="1:19" ht="13.5" customHeight="1">
      <c r="A7" s="392"/>
      <c r="B7" s="393"/>
      <c r="C7" s="393"/>
      <c r="D7" s="392"/>
      <c r="E7" s="392"/>
      <c r="F7" s="392"/>
      <c r="G7" s="392"/>
      <c r="H7" s="392"/>
      <c r="I7" s="392"/>
      <c r="J7" s="392"/>
      <c r="K7" s="392"/>
      <c r="L7" s="392"/>
      <c r="M7" s="392"/>
      <c r="N7" s="392" t="s">
        <v>125</v>
      </c>
      <c r="O7" s="392" t="s">
        <v>126</v>
      </c>
      <c r="P7" s="392" t="s">
        <v>364</v>
      </c>
      <c r="Q7" s="392"/>
      <c r="R7" s="392"/>
      <c r="S7" s="392"/>
    </row>
    <row r="8" spans="1:19" ht="13.5" customHeight="1">
      <c r="A8" s="392"/>
      <c r="B8" s="393"/>
      <c r="C8" s="393"/>
      <c r="D8" s="392"/>
      <c r="E8" s="392"/>
      <c r="F8" s="392"/>
      <c r="G8" s="392"/>
      <c r="H8" s="392"/>
      <c r="I8" s="392"/>
      <c r="J8" s="392"/>
      <c r="K8" s="392"/>
      <c r="L8" s="392"/>
      <c r="M8" s="392"/>
      <c r="N8" s="392"/>
      <c r="O8" s="392"/>
      <c r="P8" s="392"/>
      <c r="Q8" s="392"/>
      <c r="R8" s="392"/>
      <c r="S8" s="392"/>
    </row>
    <row r="9" spans="1:19" ht="78.75" customHeight="1">
      <c r="A9" s="392"/>
      <c r="B9" s="393"/>
      <c r="C9" s="393"/>
      <c r="D9" s="392"/>
      <c r="E9" s="392"/>
      <c r="F9" s="392"/>
      <c r="G9" s="392"/>
      <c r="H9" s="392"/>
      <c r="I9" s="392"/>
      <c r="J9" s="392"/>
      <c r="K9" s="392"/>
      <c r="L9" s="392"/>
      <c r="M9" s="392"/>
      <c r="N9" s="392"/>
      <c r="O9" s="392"/>
      <c r="P9" s="392"/>
      <c r="Q9" s="392"/>
      <c r="R9" s="392"/>
      <c r="S9" s="392"/>
    </row>
    <row r="10" spans="1:19" s="39" customFormat="1" ht="22.5" customHeight="1">
      <c r="A10" s="37" t="s">
        <v>10</v>
      </c>
      <c r="B10" s="37" t="s">
        <v>11</v>
      </c>
      <c r="C10" s="37">
        <v>1</v>
      </c>
      <c r="D10" s="38">
        <f>C10+1</f>
        <v>2</v>
      </c>
      <c r="E10" s="38">
        <f aca="true" t="shared" si="0" ref="E10:S10">D10+1</f>
        <v>3</v>
      </c>
      <c r="F10" s="38">
        <f t="shared" si="0"/>
        <v>4</v>
      </c>
      <c r="G10" s="38">
        <f t="shared" si="0"/>
        <v>5</v>
      </c>
      <c r="H10" s="38">
        <f t="shared" si="0"/>
        <v>6</v>
      </c>
      <c r="I10" s="38">
        <f t="shared" si="0"/>
        <v>7</v>
      </c>
      <c r="J10" s="38">
        <f t="shared" si="0"/>
        <v>8</v>
      </c>
      <c r="K10" s="38">
        <f t="shared" si="0"/>
        <v>9</v>
      </c>
      <c r="L10" s="38">
        <f t="shared" si="0"/>
        <v>10</v>
      </c>
      <c r="M10" s="38">
        <v>3</v>
      </c>
      <c r="N10" s="38">
        <v>4</v>
      </c>
      <c r="O10" s="38"/>
      <c r="P10" s="38">
        <v>5</v>
      </c>
      <c r="Q10" s="38">
        <v>7</v>
      </c>
      <c r="R10" s="38">
        <f t="shared" si="0"/>
        <v>8</v>
      </c>
      <c r="S10" s="38">
        <f t="shared" si="0"/>
        <v>9</v>
      </c>
    </row>
    <row r="11" spans="1:21" ht="22.5" customHeight="1">
      <c r="A11" s="37"/>
      <c r="B11" s="159" t="s">
        <v>31</v>
      </c>
      <c r="C11" s="160">
        <f aca="true" t="shared" si="1" ref="C11:S11">C12+C14+C16+C18</f>
        <v>34168</v>
      </c>
      <c r="D11" s="160">
        <f t="shared" si="1"/>
        <v>6000</v>
      </c>
      <c r="E11" s="160">
        <f t="shared" si="1"/>
        <v>0</v>
      </c>
      <c r="F11" s="160">
        <f t="shared" si="1"/>
        <v>0</v>
      </c>
      <c r="G11" s="160">
        <f t="shared" si="1"/>
        <v>0</v>
      </c>
      <c r="H11" s="160">
        <f t="shared" si="1"/>
        <v>0</v>
      </c>
      <c r="I11" s="160">
        <f t="shared" si="1"/>
        <v>0</v>
      </c>
      <c r="J11" s="160">
        <f t="shared" si="1"/>
        <v>0</v>
      </c>
      <c r="K11" s="160">
        <f t="shared" si="1"/>
        <v>0</v>
      </c>
      <c r="L11" s="160">
        <f t="shared" si="1"/>
        <v>0</v>
      </c>
      <c r="M11" s="160">
        <f t="shared" si="1"/>
        <v>28168</v>
      </c>
      <c r="N11" s="160">
        <f t="shared" si="1"/>
        <v>17749</v>
      </c>
      <c r="O11" s="160">
        <f t="shared" si="1"/>
        <v>0</v>
      </c>
      <c r="P11" s="160">
        <f t="shared" si="1"/>
        <v>10419</v>
      </c>
      <c r="Q11" s="160">
        <f t="shared" si="1"/>
        <v>0</v>
      </c>
      <c r="R11" s="160">
        <f t="shared" si="1"/>
        <v>0</v>
      </c>
      <c r="S11" s="160">
        <f t="shared" si="1"/>
        <v>0</v>
      </c>
      <c r="U11" s="40"/>
    </row>
    <row r="12" spans="1:19" s="21" customFormat="1" ht="22.5" customHeight="1">
      <c r="A12" s="37" t="s">
        <v>21</v>
      </c>
      <c r="B12" s="159" t="s">
        <v>346</v>
      </c>
      <c r="C12" s="160">
        <f>C13</f>
        <v>23368</v>
      </c>
      <c r="D12" s="160">
        <f aca="true" t="shared" si="2" ref="D12:S12">D13</f>
        <v>6000</v>
      </c>
      <c r="E12" s="160">
        <f t="shared" si="2"/>
        <v>0</v>
      </c>
      <c r="F12" s="160">
        <f t="shared" si="2"/>
        <v>0</v>
      </c>
      <c r="G12" s="160">
        <f t="shared" si="2"/>
        <v>0</v>
      </c>
      <c r="H12" s="160">
        <f t="shared" si="2"/>
        <v>0</v>
      </c>
      <c r="I12" s="160">
        <f t="shared" si="2"/>
        <v>0</v>
      </c>
      <c r="J12" s="160">
        <f t="shared" si="2"/>
        <v>0</v>
      </c>
      <c r="K12" s="160">
        <f t="shared" si="2"/>
        <v>0</v>
      </c>
      <c r="L12" s="160">
        <f t="shared" si="2"/>
        <v>0</v>
      </c>
      <c r="M12" s="160">
        <f t="shared" si="2"/>
        <v>17368</v>
      </c>
      <c r="N12" s="160">
        <f t="shared" si="2"/>
        <v>8849</v>
      </c>
      <c r="O12" s="160">
        <f t="shared" si="2"/>
        <v>0</v>
      </c>
      <c r="P12" s="160">
        <f t="shared" si="2"/>
        <v>8519</v>
      </c>
      <c r="Q12" s="160">
        <f t="shared" si="2"/>
        <v>0</v>
      </c>
      <c r="R12" s="160">
        <f t="shared" si="2"/>
        <v>0</v>
      </c>
      <c r="S12" s="160">
        <f t="shared" si="2"/>
        <v>0</v>
      </c>
    </row>
    <row r="13" spans="1:21" ht="22.5" customHeight="1">
      <c r="A13" s="161">
        <v>1</v>
      </c>
      <c r="B13" s="162" t="s">
        <v>365</v>
      </c>
      <c r="C13" s="163">
        <f>SUM(D13:M13)+Q13+R13+S13</f>
        <v>23368</v>
      </c>
      <c r="D13" s="163">
        <v>6000</v>
      </c>
      <c r="E13" s="163"/>
      <c r="F13" s="163"/>
      <c r="G13" s="163"/>
      <c r="H13" s="163"/>
      <c r="I13" s="163"/>
      <c r="J13" s="163"/>
      <c r="K13" s="163"/>
      <c r="L13" s="163"/>
      <c r="M13" s="163">
        <f>N13+O13+P13</f>
        <v>17368</v>
      </c>
      <c r="N13" s="163">
        <v>8849</v>
      </c>
      <c r="O13" s="163"/>
      <c r="P13" s="163">
        <v>8519</v>
      </c>
      <c r="Q13" s="163"/>
      <c r="R13" s="163"/>
      <c r="S13" s="163"/>
      <c r="U13" s="40">
        <f>C11+2700</f>
        <v>36868</v>
      </c>
    </row>
    <row r="14" spans="1:19" s="21" customFormat="1" ht="22.5" customHeight="1">
      <c r="A14" s="37" t="s">
        <v>22</v>
      </c>
      <c r="B14" s="159" t="s">
        <v>347</v>
      </c>
      <c r="C14" s="160">
        <f>C15</f>
        <v>10800</v>
      </c>
      <c r="D14" s="160">
        <f aca="true" t="shared" si="3" ref="D14:S14">D15</f>
        <v>0</v>
      </c>
      <c r="E14" s="160">
        <f t="shared" si="3"/>
        <v>0</v>
      </c>
      <c r="F14" s="160">
        <f t="shared" si="3"/>
        <v>0</v>
      </c>
      <c r="G14" s="160">
        <f t="shared" si="3"/>
        <v>0</v>
      </c>
      <c r="H14" s="160">
        <f t="shared" si="3"/>
        <v>0</v>
      </c>
      <c r="I14" s="160">
        <f t="shared" si="3"/>
        <v>0</v>
      </c>
      <c r="J14" s="160">
        <f t="shared" si="3"/>
        <v>0</v>
      </c>
      <c r="K14" s="160">
        <f t="shared" si="3"/>
        <v>0</v>
      </c>
      <c r="L14" s="160">
        <f t="shared" si="3"/>
        <v>0</v>
      </c>
      <c r="M14" s="160">
        <f t="shared" si="3"/>
        <v>10800</v>
      </c>
      <c r="N14" s="160">
        <f t="shared" si="3"/>
        <v>8900</v>
      </c>
      <c r="O14" s="160">
        <f t="shared" si="3"/>
        <v>0</v>
      </c>
      <c r="P14" s="160">
        <f t="shared" si="3"/>
        <v>1900</v>
      </c>
      <c r="Q14" s="160">
        <f t="shared" si="3"/>
        <v>0</v>
      </c>
      <c r="R14" s="160">
        <f t="shared" si="3"/>
        <v>0</v>
      </c>
      <c r="S14" s="160">
        <f t="shared" si="3"/>
        <v>0</v>
      </c>
    </row>
    <row r="15" spans="1:19" ht="22.5" customHeight="1" thickBot="1">
      <c r="A15" s="468">
        <v>1</v>
      </c>
      <c r="B15" s="469" t="s">
        <v>365</v>
      </c>
      <c r="C15" s="470">
        <f>SUM(D15:M15)+Q15+R15+S15</f>
        <v>10800</v>
      </c>
      <c r="D15" s="470"/>
      <c r="E15" s="470"/>
      <c r="F15" s="470"/>
      <c r="G15" s="470"/>
      <c r="H15" s="470"/>
      <c r="I15" s="470"/>
      <c r="J15" s="470"/>
      <c r="K15" s="470"/>
      <c r="L15" s="470"/>
      <c r="M15" s="470">
        <f>N15+O15+P15</f>
        <v>10800</v>
      </c>
      <c r="N15" s="470">
        <f>11600-2700</f>
        <v>8900</v>
      </c>
      <c r="O15" s="470"/>
      <c r="P15" s="470">
        <v>1900</v>
      </c>
      <c r="Q15" s="470"/>
      <c r="R15" s="470"/>
      <c r="S15" s="470"/>
    </row>
    <row r="16" spans="1:19" s="21" customFormat="1" ht="15.75" customHeight="1" hidden="1">
      <c r="A16" s="44" t="s">
        <v>22</v>
      </c>
      <c r="B16" s="45" t="s">
        <v>182</v>
      </c>
      <c r="C16" s="46">
        <f>C17</f>
        <v>0</v>
      </c>
      <c r="D16" s="46">
        <f aca="true" t="shared" si="4" ref="D16:S16">D17</f>
        <v>0</v>
      </c>
      <c r="E16" s="46">
        <f t="shared" si="4"/>
        <v>0</v>
      </c>
      <c r="F16" s="46">
        <f t="shared" si="4"/>
        <v>0</v>
      </c>
      <c r="G16" s="46">
        <f t="shared" si="4"/>
        <v>0</v>
      </c>
      <c r="H16" s="46">
        <f t="shared" si="4"/>
        <v>0</v>
      </c>
      <c r="I16" s="46">
        <f t="shared" si="4"/>
        <v>0</v>
      </c>
      <c r="J16" s="46">
        <f t="shared" si="4"/>
        <v>0</v>
      </c>
      <c r="K16" s="46">
        <f t="shared" si="4"/>
        <v>0</v>
      </c>
      <c r="L16" s="46">
        <f t="shared" si="4"/>
        <v>0</v>
      </c>
      <c r="M16" s="46">
        <f t="shared" si="4"/>
        <v>0</v>
      </c>
      <c r="N16" s="46">
        <f t="shared" si="4"/>
        <v>0</v>
      </c>
      <c r="O16" s="46">
        <f t="shared" si="4"/>
        <v>0</v>
      </c>
      <c r="P16" s="46">
        <f t="shared" si="4"/>
        <v>0</v>
      </c>
      <c r="Q16" s="46">
        <f t="shared" si="4"/>
        <v>0</v>
      </c>
      <c r="R16" s="46">
        <f t="shared" si="4"/>
        <v>0</v>
      </c>
      <c r="S16" s="46">
        <f t="shared" si="4"/>
        <v>0</v>
      </c>
    </row>
    <row r="17" spans="1:19" s="1" customFormat="1" ht="15.75" customHeight="1" hidden="1">
      <c r="A17" s="35">
        <v>1</v>
      </c>
      <c r="B17" s="10" t="s">
        <v>365</v>
      </c>
      <c r="C17" s="2">
        <f>SUM(D17:M17)+Q17+R17+S17</f>
        <v>0</v>
      </c>
      <c r="D17" s="36"/>
      <c r="E17" s="36"/>
      <c r="F17" s="36"/>
      <c r="G17" s="36"/>
      <c r="H17" s="36"/>
      <c r="I17" s="36"/>
      <c r="J17" s="36"/>
      <c r="K17" s="36"/>
      <c r="L17" s="36"/>
      <c r="M17" s="41">
        <f>N17+O17+P17</f>
        <v>0</v>
      </c>
      <c r="N17" s="36"/>
      <c r="O17" s="36"/>
      <c r="P17" s="36"/>
      <c r="Q17" s="36"/>
      <c r="R17" s="36"/>
      <c r="S17" s="36"/>
    </row>
    <row r="18" spans="1:19" s="21" customFormat="1" ht="15.75" customHeight="1" hidden="1">
      <c r="A18" s="47" t="s">
        <v>23</v>
      </c>
      <c r="B18" s="48" t="s">
        <v>183</v>
      </c>
      <c r="C18" s="49">
        <f>C19</f>
        <v>0</v>
      </c>
      <c r="D18" s="49">
        <f aca="true" t="shared" si="5" ref="D18:S18">D19</f>
        <v>0</v>
      </c>
      <c r="E18" s="49">
        <f t="shared" si="5"/>
        <v>0</v>
      </c>
      <c r="F18" s="49">
        <f t="shared" si="5"/>
        <v>0</v>
      </c>
      <c r="G18" s="49">
        <f t="shared" si="5"/>
        <v>0</v>
      </c>
      <c r="H18" s="49">
        <f t="shared" si="5"/>
        <v>0</v>
      </c>
      <c r="I18" s="49">
        <f t="shared" si="5"/>
        <v>0</v>
      </c>
      <c r="J18" s="49">
        <f t="shared" si="5"/>
        <v>0</v>
      </c>
      <c r="K18" s="49">
        <f t="shared" si="5"/>
        <v>0</v>
      </c>
      <c r="L18" s="49">
        <f t="shared" si="5"/>
        <v>0</v>
      </c>
      <c r="M18" s="49">
        <f t="shared" si="5"/>
        <v>0</v>
      </c>
      <c r="N18" s="49">
        <f t="shared" si="5"/>
        <v>0</v>
      </c>
      <c r="O18" s="49">
        <f t="shared" si="5"/>
        <v>0</v>
      </c>
      <c r="P18" s="49">
        <f t="shared" si="5"/>
        <v>0</v>
      </c>
      <c r="Q18" s="49">
        <f t="shared" si="5"/>
        <v>0</v>
      </c>
      <c r="R18" s="49">
        <f t="shared" si="5"/>
        <v>0</v>
      </c>
      <c r="S18" s="49">
        <f t="shared" si="5"/>
        <v>0</v>
      </c>
    </row>
    <row r="19" spans="1:19" ht="15.75" customHeight="1" hidden="1">
      <c r="A19" s="50">
        <v>1</v>
      </c>
      <c r="B19" s="51" t="s">
        <v>365</v>
      </c>
      <c r="C19" s="41">
        <f>SUM(D19:M19)+Q19+R19+S19</f>
        <v>0</v>
      </c>
      <c r="D19" s="52"/>
      <c r="E19" s="52"/>
      <c r="F19" s="52"/>
      <c r="G19" s="52"/>
      <c r="H19" s="52"/>
      <c r="I19" s="52"/>
      <c r="J19" s="52"/>
      <c r="K19" s="52"/>
      <c r="L19" s="52"/>
      <c r="M19" s="41">
        <f>N19+O19+P19</f>
        <v>0</v>
      </c>
      <c r="N19" s="52"/>
      <c r="O19" s="52"/>
      <c r="P19" s="52"/>
      <c r="Q19" s="52"/>
      <c r="R19" s="52"/>
      <c r="S19" s="41"/>
    </row>
    <row r="20" spans="1:19" ht="15.75" customHeight="1" hidden="1">
      <c r="A20" s="42"/>
      <c r="B20" s="53"/>
      <c r="C20" s="43"/>
      <c r="D20" s="43"/>
      <c r="E20" s="43"/>
      <c r="F20" s="43"/>
      <c r="G20" s="43"/>
      <c r="H20" s="43"/>
      <c r="I20" s="43"/>
      <c r="J20" s="43"/>
      <c r="K20" s="43"/>
      <c r="L20" s="43"/>
      <c r="M20" s="43"/>
      <c r="N20" s="43"/>
      <c r="O20" s="43"/>
      <c r="P20" s="43"/>
      <c r="Q20" s="43"/>
      <c r="R20" s="43"/>
      <c r="S20" s="43"/>
    </row>
    <row r="21" spans="1:2" ht="15.75" hidden="1">
      <c r="A21" s="4"/>
      <c r="B21" s="4"/>
    </row>
    <row r="22" spans="1:2" ht="16.5" thickTop="1">
      <c r="A22" s="4"/>
      <c r="B22" s="4"/>
    </row>
    <row r="23" ht="15.75">
      <c r="B23" s="4"/>
    </row>
    <row r="31" ht="22.5" customHeight="1"/>
  </sheetData>
  <sheetProtection/>
  <mergeCells count="21">
    <mergeCell ref="M6:M9"/>
    <mergeCell ref="G6:G9"/>
    <mergeCell ref="H6:H9"/>
    <mergeCell ref="I6:I9"/>
    <mergeCell ref="N6:P6"/>
    <mergeCell ref="J6:J9"/>
    <mergeCell ref="K6:K9"/>
    <mergeCell ref="L6:L9"/>
    <mergeCell ref="S6:S9"/>
    <mergeCell ref="P7:P9"/>
    <mergeCell ref="Q6:Q9"/>
    <mergeCell ref="R6:R9"/>
    <mergeCell ref="N7:N9"/>
    <mergeCell ref="R5:S5"/>
    <mergeCell ref="O7:O9"/>
    <mergeCell ref="A6:A9"/>
    <mergeCell ref="B6:B9"/>
    <mergeCell ref="C6:C9"/>
    <mergeCell ref="D6:D9"/>
    <mergeCell ref="E6:E9"/>
    <mergeCell ref="F6:F9"/>
  </mergeCells>
  <printOptions/>
  <pageMargins left="0.35" right="0.35" top="0.58" bottom="0.75" header="0.3" footer="0.3"/>
  <pageSetup fitToHeight="0"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U61"/>
  <sheetViews>
    <sheetView view="pageBreakPreview" zoomScale="60" zoomScaleNormal="70" workbookViewId="0" topLeftCell="A10">
      <selection activeCell="A49" sqref="A49:S49"/>
    </sheetView>
  </sheetViews>
  <sheetFormatPr defaultColWidth="8.796875" defaultRowHeight="15"/>
  <cols>
    <col min="1" max="1" width="4.19921875" style="28" customWidth="1"/>
    <col min="2" max="2" width="40" style="28" customWidth="1"/>
    <col min="3" max="3" width="12.3984375" style="28" customWidth="1"/>
    <col min="4" max="4" width="9.69921875" style="28" customWidth="1"/>
    <col min="5" max="5" width="7.09765625" style="28" customWidth="1"/>
    <col min="6" max="6" width="7.5" style="28" customWidth="1"/>
    <col min="7" max="7" width="8.09765625" style="28" customWidth="1"/>
    <col min="8" max="8" width="8.59765625" style="28" customWidth="1"/>
    <col min="9" max="9" width="7.19921875" style="28" customWidth="1"/>
    <col min="10" max="10" width="7.3984375" style="28" customWidth="1"/>
    <col min="11" max="11" width="6.19921875" style="28" customWidth="1"/>
    <col min="12" max="12" width="7.09765625" style="28" customWidth="1"/>
    <col min="13" max="13" width="9" style="28" customWidth="1"/>
    <col min="14" max="14" width="8.59765625" style="28" customWidth="1"/>
    <col min="15" max="15" width="10" style="28" customWidth="1"/>
    <col min="16" max="16" width="8.69921875" style="28" customWidth="1"/>
    <col min="17" max="17" width="9.8984375" style="28" customWidth="1"/>
    <col min="18" max="18" width="8.8984375" style="28" customWidth="1"/>
    <col min="19" max="19" width="7.69921875" style="28" customWidth="1"/>
    <col min="20" max="21" width="9.19921875" style="28" hidden="1" customWidth="1"/>
    <col min="22" max="16384" width="9" style="28" customWidth="1"/>
  </cols>
  <sheetData>
    <row r="1" spans="1:19" ht="18.75" customHeight="1">
      <c r="A1" s="99"/>
      <c r="B1" s="99"/>
      <c r="C1" s="101"/>
      <c r="D1" s="101"/>
      <c r="E1" s="101"/>
      <c r="F1" s="101"/>
      <c r="G1" s="146"/>
      <c r="H1" s="146"/>
      <c r="I1" s="146"/>
      <c r="J1" s="146"/>
      <c r="K1" s="146"/>
      <c r="L1" s="101"/>
      <c r="M1" s="101"/>
      <c r="N1" s="101"/>
      <c r="O1" s="101"/>
      <c r="P1" s="101"/>
      <c r="Q1" s="67"/>
      <c r="R1" s="144"/>
      <c r="S1" s="145" t="s">
        <v>186</v>
      </c>
    </row>
    <row r="2" spans="1:19" s="33" customFormat="1" ht="18.75" customHeight="1">
      <c r="A2" s="146" t="s">
        <v>154</v>
      </c>
      <c r="B2" s="146"/>
      <c r="C2" s="164"/>
      <c r="D2" s="164"/>
      <c r="E2" s="164"/>
      <c r="F2" s="164"/>
      <c r="G2" s="164"/>
      <c r="H2" s="164"/>
      <c r="I2" s="164"/>
      <c r="J2" s="164"/>
      <c r="K2" s="164"/>
      <c r="L2" s="164"/>
      <c r="M2" s="164"/>
      <c r="N2" s="164"/>
      <c r="O2" s="164"/>
      <c r="P2" s="164"/>
      <c r="Q2" s="164"/>
      <c r="R2" s="164"/>
      <c r="S2" s="164"/>
    </row>
    <row r="3" spans="1:19" s="33" customFormat="1" ht="21.75" customHeight="1">
      <c r="A3" s="146" t="s">
        <v>376</v>
      </c>
      <c r="B3" s="146"/>
      <c r="C3" s="164"/>
      <c r="D3" s="164"/>
      <c r="E3" s="164"/>
      <c r="F3" s="164"/>
      <c r="G3" s="164"/>
      <c r="H3" s="164"/>
      <c r="I3" s="164"/>
      <c r="J3" s="164"/>
      <c r="K3" s="164"/>
      <c r="L3" s="164"/>
      <c r="M3" s="164"/>
      <c r="N3" s="164"/>
      <c r="O3" s="164"/>
      <c r="P3" s="164"/>
      <c r="Q3" s="164"/>
      <c r="R3" s="164"/>
      <c r="S3" s="164"/>
    </row>
    <row r="4" spans="1:19" ht="20.25" customHeight="1">
      <c r="A4" s="165" t="str">
        <f>PL15!A3</f>
        <v>(Kèm theo Nghị quyết số       /NQ-HĐND ngày       tháng 12 năm 2022 của HĐND huyện Tuần Giáo)</v>
      </c>
      <c r="B4" s="166"/>
      <c r="C4" s="101"/>
      <c r="D4" s="101"/>
      <c r="E4" s="101"/>
      <c r="F4" s="101"/>
      <c r="G4" s="101"/>
      <c r="H4" s="101"/>
      <c r="I4" s="101"/>
      <c r="J4" s="101"/>
      <c r="K4" s="101"/>
      <c r="L4" s="101"/>
      <c r="M4" s="101"/>
      <c r="N4" s="101"/>
      <c r="O4" s="101"/>
      <c r="P4" s="101"/>
      <c r="Q4" s="101"/>
      <c r="R4" s="101"/>
      <c r="S4" s="101"/>
    </row>
    <row r="5" spans="1:19" ht="23.25" customHeight="1">
      <c r="A5" s="103"/>
      <c r="B5" s="103"/>
      <c r="C5" s="104"/>
      <c r="D5" s="104"/>
      <c r="E5" s="104"/>
      <c r="F5" s="104"/>
      <c r="G5" s="167"/>
      <c r="H5" s="167"/>
      <c r="I5" s="167"/>
      <c r="J5" s="167"/>
      <c r="K5" s="167"/>
      <c r="L5" s="167"/>
      <c r="M5" s="167"/>
      <c r="N5" s="167"/>
      <c r="O5" s="167"/>
      <c r="P5" s="167"/>
      <c r="Q5" s="167"/>
      <c r="R5" s="167"/>
      <c r="S5" s="168" t="s">
        <v>92</v>
      </c>
    </row>
    <row r="6" spans="1:19" s="30" customFormat="1" ht="15" customHeight="1">
      <c r="A6" s="395" t="s">
        <v>62</v>
      </c>
      <c r="B6" s="396" t="s">
        <v>32</v>
      </c>
      <c r="C6" s="396" t="s">
        <v>81</v>
      </c>
      <c r="D6" s="395" t="s">
        <v>67</v>
      </c>
      <c r="E6" s="395" t="s">
        <v>51</v>
      </c>
      <c r="F6" s="395" t="s">
        <v>110</v>
      </c>
      <c r="G6" s="395" t="s">
        <v>111</v>
      </c>
      <c r="H6" s="395" t="s">
        <v>112</v>
      </c>
      <c r="I6" s="395" t="s">
        <v>113</v>
      </c>
      <c r="J6" s="395" t="s">
        <v>366</v>
      </c>
      <c r="K6" s="395" t="s">
        <v>115</v>
      </c>
      <c r="L6" s="395" t="s">
        <v>116</v>
      </c>
      <c r="M6" s="395" t="s">
        <v>117</v>
      </c>
      <c r="N6" s="395" t="s">
        <v>33</v>
      </c>
      <c r="O6" s="395"/>
      <c r="P6" s="395"/>
      <c r="Q6" s="395" t="s">
        <v>118</v>
      </c>
      <c r="R6" s="395" t="s">
        <v>119</v>
      </c>
      <c r="S6" s="395" t="s">
        <v>121</v>
      </c>
    </row>
    <row r="7" spans="1:19" s="30" customFormat="1" ht="24" customHeight="1">
      <c r="A7" s="395"/>
      <c r="B7" s="396"/>
      <c r="C7" s="396"/>
      <c r="D7" s="395"/>
      <c r="E7" s="395"/>
      <c r="F7" s="395"/>
      <c r="G7" s="395"/>
      <c r="H7" s="395"/>
      <c r="I7" s="395"/>
      <c r="J7" s="395"/>
      <c r="K7" s="395"/>
      <c r="L7" s="395"/>
      <c r="M7" s="395"/>
      <c r="N7" s="395" t="s">
        <v>125</v>
      </c>
      <c r="O7" s="395" t="s">
        <v>126</v>
      </c>
      <c r="P7" s="395" t="s">
        <v>364</v>
      </c>
      <c r="Q7" s="395"/>
      <c r="R7" s="395"/>
      <c r="S7" s="395"/>
    </row>
    <row r="8" spans="1:19" s="30" customFormat="1" ht="24" customHeight="1">
      <c r="A8" s="395"/>
      <c r="B8" s="396"/>
      <c r="C8" s="396"/>
      <c r="D8" s="395"/>
      <c r="E8" s="395"/>
      <c r="F8" s="395"/>
      <c r="G8" s="395"/>
      <c r="H8" s="395"/>
      <c r="I8" s="395"/>
      <c r="J8" s="395"/>
      <c r="K8" s="395"/>
      <c r="L8" s="395"/>
      <c r="M8" s="395"/>
      <c r="N8" s="395"/>
      <c r="O8" s="395"/>
      <c r="P8" s="395"/>
      <c r="Q8" s="395"/>
      <c r="R8" s="395"/>
      <c r="S8" s="395"/>
    </row>
    <row r="9" spans="1:19" s="30" customFormat="1" ht="30.75" customHeight="1">
      <c r="A9" s="395"/>
      <c r="B9" s="396"/>
      <c r="C9" s="396"/>
      <c r="D9" s="395"/>
      <c r="E9" s="395"/>
      <c r="F9" s="395"/>
      <c r="G9" s="395"/>
      <c r="H9" s="395"/>
      <c r="I9" s="395"/>
      <c r="J9" s="395"/>
      <c r="K9" s="395"/>
      <c r="L9" s="395"/>
      <c r="M9" s="395"/>
      <c r="N9" s="395"/>
      <c r="O9" s="395"/>
      <c r="P9" s="395"/>
      <c r="Q9" s="395"/>
      <c r="R9" s="395"/>
      <c r="S9" s="395"/>
    </row>
    <row r="10" spans="1:21" s="32" customFormat="1" ht="14.25" customHeight="1">
      <c r="A10" s="31" t="s">
        <v>10</v>
      </c>
      <c r="B10" s="31" t="s">
        <v>11</v>
      </c>
      <c r="C10" s="31">
        <v>1</v>
      </c>
      <c r="D10" s="70">
        <f>C10+1</f>
        <v>2</v>
      </c>
      <c r="E10" s="70">
        <f aca="true" t="shared" si="0" ref="E10:S10">D10+1</f>
        <v>3</v>
      </c>
      <c r="F10" s="70">
        <f t="shared" si="0"/>
        <v>4</v>
      </c>
      <c r="G10" s="70">
        <f t="shared" si="0"/>
        <v>5</v>
      </c>
      <c r="H10" s="70">
        <f t="shared" si="0"/>
        <v>6</v>
      </c>
      <c r="I10" s="70">
        <f t="shared" si="0"/>
        <v>7</v>
      </c>
      <c r="J10" s="70">
        <f t="shared" si="0"/>
        <v>8</v>
      </c>
      <c r="K10" s="70">
        <f t="shared" si="0"/>
        <v>9</v>
      </c>
      <c r="L10" s="70">
        <f t="shared" si="0"/>
        <v>10</v>
      </c>
      <c r="M10" s="70">
        <f t="shared" si="0"/>
        <v>11</v>
      </c>
      <c r="N10" s="70">
        <f t="shared" si="0"/>
        <v>12</v>
      </c>
      <c r="O10" s="70">
        <f>N10+1</f>
        <v>13</v>
      </c>
      <c r="P10" s="70">
        <f t="shared" si="0"/>
        <v>14</v>
      </c>
      <c r="Q10" s="70">
        <f t="shared" si="0"/>
        <v>15</v>
      </c>
      <c r="R10" s="70">
        <f t="shared" si="0"/>
        <v>16</v>
      </c>
      <c r="S10" s="70">
        <f t="shared" si="0"/>
        <v>17</v>
      </c>
      <c r="T10" s="55">
        <v>627091</v>
      </c>
      <c r="U10" s="55">
        <v>12458</v>
      </c>
    </row>
    <row r="11" spans="1:21" ht="24" customHeight="1">
      <c r="A11" s="91"/>
      <c r="B11" s="117" t="s">
        <v>31</v>
      </c>
      <c r="C11" s="114">
        <f>C12+C38+C48</f>
        <v>670590</v>
      </c>
      <c r="D11" s="114">
        <f>D12+D38+D48</f>
        <v>445171</v>
      </c>
      <c r="E11" s="114">
        <f aca="true" t="shared" si="1" ref="E11:S11">E12+E38+E48</f>
        <v>600</v>
      </c>
      <c r="F11" s="114">
        <f t="shared" si="1"/>
        <v>4854</v>
      </c>
      <c r="G11" s="114">
        <f t="shared" si="1"/>
        <v>1460</v>
      </c>
      <c r="H11" s="114">
        <f t="shared" si="1"/>
        <v>2015</v>
      </c>
      <c r="I11" s="114">
        <f t="shared" si="1"/>
        <v>6435</v>
      </c>
      <c r="J11" s="114">
        <f t="shared" si="1"/>
        <v>2604</v>
      </c>
      <c r="K11" s="114">
        <f t="shared" si="1"/>
        <v>616</v>
      </c>
      <c r="L11" s="114">
        <f t="shared" si="1"/>
        <v>4232</v>
      </c>
      <c r="M11" s="114">
        <f t="shared" si="1"/>
        <v>108711</v>
      </c>
      <c r="N11" s="114">
        <f t="shared" si="1"/>
        <v>19013</v>
      </c>
      <c r="O11" s="114">
        <f t="shared" si="1"/>
        <v>36476</v>
      </c>
      <c r="P11" s="114">
        <f t="shared" si="1"/>
        <v>53222</v>
      </c>
      <c r="Q11" s="114">
        <f t="shared" si="1"/>
        <v>33702</v>
      </c>
      <c r="R11" s="114">
        <f t="shared" si="1"/>
        <v>50207</v>
      </c>
      <c r="S11" s="114">
        <f t="shared" si="1"/>
        <v>9983</v>
      </c>
      <c r="T11" s="55">
        <f>C11+'[3]PL36'!C11</f>
        <v>707584</v>
      </c>
      <c r="U11" s="55">
        <f>T10-T11</f>
        <v>-80493</v>
      </c>
    </row>
    <row r="12" spans="1:20" ht="18.75" customHeight="1">
      <c r="A12" s="91" t="s">
        <v>21</v>
      </c>
      <c r="B12" s="117" t="s">
        <v>194</v>
      </c>
      <c r="C12" s="114">
        <f aca="true" t="shared" si="2" ref="C12:S12">SUM(C13:C37)</f>
        <v>594832</v>
      </c>
      <c r="D12" s="114">
        <f>SUM(D13:D37)</f>
        <v>429047</v>
      </c>
      <c r="E12" s="114">
        <f t="shared" si="2"/>
        <v>600</v>
      </c>
      <c r="F12" s="114">
        <f t="shared" si="2"/>
        <v>4854</v>
      </c>
      <c r="G12" s="114">
        <f t="shared" si="2"/>
        <v>1432</v>
      </c>
      <c r="H12" s="114">
        <f t="shared" si="2"/>
        <v>200</v>
      </c>
      <c r="I12" s="114">
        <f t="shared" si="2"/>
        <v>1786</v>
      </c>
      <c r="J12" s="114">
        <f t="shared" si="2"/>
        <v>2604</v>
      </c>
      <c r="K12" s="114">
        <f t="shared" si="2"/>
        <v>616</v>
      </c>
      <c r="L12" s="114">
        <f t="shared" si="2"/>
        <v>4232</v>
      </c>
      <c r="M12" s="114">
        <f t="shared" si="2"/>
        <v>62036</v>
      </c>
      <c r="N12" s="114">
        <f t="shared" si="2"/>
        <v>19013</v>
      </c>
      <c r="O12" s="114">
        <f t="shared" si="2"/>
        <v>18160</v>
      </c>
      <c r="P12" s="114">
        <f t="shared" si="2"/>
        <v>24863</v>
      </c>
      <c r="Q12" s="114">
        <f t="shared" si="2"/>
        <v>31897</v>
      </c>
      <c r="R12" s="114">
        <f t="shared" si="2"/>
        <v>45545</v>
      </c>
      <c r="S12" s="114">
        <f t="shared" si="2"/>
        <v>9983</v>
      </c>
      <c r="T12" s="55"/>
    </row>
    <row r="13" spans="1:20" ht="18.75" customHeight="1">
      <c r="A13" s="66">
        <v>1</v>
      </c>
      <c r="B13" s="115" t="s">
        <v>163</v>
      </c>
      <c r="C13" s="114">
        <f>SUM(D13:M13)+SUM(Q13:S13)</f>
        <v>8107</v>
      </c>
      <c r="D13" s="113">
        <v>50</v>
      </c>
      <c r="E13" s="113"/>
      <c r="F13" s="113"/>
      <c r="G13" s="113"/>
      <c r="H13" s="113">
        <v>200</v>
      </c>
      <c r="I13" s="113"/>
      <c r="J13" s="113"/>
      <c r="K13" s="113"/>
      <c r="L13" s="113"/>
      <c r="M13" s="113">
        <f>N13+O13+P13</f>
        <v>0</v>
      </c>
      <c r="N13" s="113"/>
      <c r="O13" s="113"/>
      <c r="P13" s="113"/>
      <c r="Q13" s="113">
        <v>7857</v>
      </c>
      <c r="R13" s="113"/>
      <c r="S13" s="113"/>
      <c r="T13" s="55"/>
    </row>
    <row r="14" spans="1:20" ht="18.75" customHeight="1">
      <c r="A14" s="66">
        <v>2</v>
      </c>
      <c r="B14" s="115" t="s">
        <v>164</v>
      </c>
      <c r="C14" s="114">
        <f aca="true" t="shared" si="3" ref="C14:C37">SUM(D14:M14)+SUM(Q14:S14)</f>
        <v>3976</v>
      </c>
      <c r="D14" s="113">
        <v>15</v>
      </c>
      <c r="E14" s="113"/>
      <c r="F14" s="113"/>
      <c r="G14" s="113"/>
      <c r="H14" s="113"/>
      <c r="I14" s="113"/>
      <c r="J14" s="113"/>
      <c r="K14" s="113"/>
      <c r="L14" s="113"/>
      <c r="M14" s="113">
        <f aca="true" t="shared" si="4" ref="M14:M49">N14+O14+P14</f>
        <v>0</v>
      </c>
      <c r="N14" s="113"/>
      <c r="O14" s="113"/>
      <c r="P14" s="113"/>
      <c r="Q14" s="113">
        <v>3769</v>
      </c>
      <c r="R14" s="113"/>
      <c r="S14" s="113">
        <v>192</v>
      </c>
      <c r="T14" s="55"/>
    </row>
    <row r="15" spans="1:20" ht="18.75" customHeight="1">
      <c r="A15" s="66">
        <v>3</v>
      </c>
      <c r="B15" s="115" t="s">
        <v>162</v>
      </c>
      <c r="C15" s="114">
        <f t="shared" si="3"/>
        <v>9429</v>
      </c>
      <c r="D15" s="113">
        <v>40</v>
      </c>
      <c r="E15" s="113"/>
      <c r="F15" s="113"/>
      <c r="G15" s="113"/>
      <c r="H15" s="113"/>
      <c r="I15" s="113"/>
      <c r="J15" s="113"/>
      <c r="K15" s="113"/>
      <c r="L15" s="113"/>
      <c r="M15" s="113">
        <f t="shared" si="4"/>
        <v>0</v>
      </c>
      <c r="N15" s="113"/>
      <c r="O15" s="113"/>
      <c r="P15" s="113"/>
      <c r="Q15" s="113">
        <v>9389</v>
      </c>
      <c r="R15" s="113"/>
      <c r="S15" s="113"/>
      <c r="T15" s="55"/>
    </row>
    <row r="16" spans="1:20" ht="18.75" customHeight="1">
      <c r="A16" s="66">
        <v>4</v>
      </c>
      <c r="B16" s="115" t="s">
        <v>367</v>
      </c>
      <c r="C16" s="114">
        <f t="shared" si="3"/>
        <v>11907</v>
      </c>
      <c r="D16" s="113">
        <v>30</v>
      </c>
      <c r="E16" s="113"/>
      <c r="F16" s="113"/>
      <c r="G16" s="113"/>
      <c r="H16" s="113"/>
      <c r="I16" s="113"/>
      <c r="J16" s="113"/>
      <c r="K16" s="113"/>
      <c r="L16" s="113"/>
      <c r="M16" s="113">
        <f t="shared" si="4"/>
        <v>9974</v>
      </c>
      <c r="N16" s="113"/>
      <c r="O16" s="113">
        <v>9974</v>
      </c>
      <c r="P16" s="113"/>
      <c r="Q16" s="113">
        <v>976</v>
      </c>
      <c r="R16" s="113"/>
      <c r="S16" s="113">
        <v>927</v>
      </c>
      <c r="T16" s="55"/>
    </row>
    <row r="17" spans="1:20" ht="18.75" customHeight="1">
      <c r="A17" s="66">
        <v>5</v>
      </c>
      <c r="B17" s="115" t="s">
        <v>368</v>
      </c>
      <c r="C17" s="114">
        <f t="shared" si="3"/>
        <v>1277</v>
      </c>
      <c r="D17" s="113"/>
      <c r="E17" s="113"/>
      <c r="F17" s="113"/>
      <c r="G17" s="113"/>
      <c r="H17" s="113"/>
      <c r="I17" s="113"/>
      <c r="J17" s="113"/>
      <c r="K17" s="113"/>
      <c r="L17" s="113"/>
      <c r="M17" s="113">
        <f t="shared" si="4"/>
        <v>0</v>
      </c>
      <c r="N17" s="113"/>
      <c r="O17" s="113"/>
      <c r="P17" s="113"/>
      <c r="Q17" s="113">
        <v>1277</v>
      </c>
      <c r="R17" s="113"/>
      <c r="S17" s="113"/>
      <c r="T17" s="55"/>
    </row>
    <row r="18" spans="1:20" ht="18.75" customHeight="1">
      <c r="A18" s="66">
        <v>6</v>
      </c>
      <c r="B18" s="115" t="s">
        <v>369</v>
      </c>
      <c r="C18" s="114">
        <f t="shared" si="3"/>
        <v>8875</v>
      </c>
      <c r="D18" s="113">
        <v>15</v>
      </c>
      <c r="E18" s="113"/>
      <c r="F18" s="113"/>
      <c r="G18" s="113"/>
      <c r="H18" s="113"/>
      <c r="I18" s="113"/>
      <c r="J18" s="113"/>
      <c r="K18" s="113"/>
      <c r="L18" s="113">
        <v>4232</v>
      </c>
      <c r="M18" s="113">
        <f t="shared" si="4"/>
        <v>3950</v>
      </c>
      <c r="N18" s="113"/>
      <c r="O18" s="113"/>
      <c r="P18" s="113">
        <v>3950</v>
      </c>
      <c r="Q18" s="113">
        <v>678</v>
      </c>
      <c r="R18" s="113"/>
      <c r="S18" s="113"/>
      <c r="T18" s="55"/>
    </row>
    <row r="19" spans="1:20" ht="18.75" customHeight="1">
      <c r="A19" s="66">
        <v>7</v>
      </c>
      <c r="B19" s="115" t="s">
        <v>168</v>
      </c>
      <c r="C19" s="114">
        <f t="shared" si="3"/>
        <v>871</v>
      </c>
      <c r="D19" s="113"/>
      <c r="E19" s="113"/>
      <c r="F19" s="113"/>
      <c r="G19" s="113"/>
      <c r="H19" s="113"/>
      <c r="I19" s="113"/>
      <c r="J19" s="113"/>
      <c r="K19" s="113"/>
      <c r="L19" s="113"/>
      <c r="M19" s="113">
        <f t="shared" si="4"/>
        <v>0</v>
      </c>
      <c r="N19" s="113"/>
      <c r="O19" s="113"/>
      <c r="P19" s="113"/>
      <c r="Q19" s="113">
        <v>871</v>
      </c>
      <c r="R19" s="113"/>
      <c r="S19" s="113"/>
      <c r="T19" s="55"/>
    </row>
    <row r="20" spans="1:20" ht="18.75" customHeight="1">
      <c r="A20" s="66">
        <v>8</v>
      </c>
      <c r="B20" s="115" t="s">
        <v>169</v>
      </c>
      <c r="C20" s="114">
        <f t="shared" si="3"/>
        <v>639</v>
      </c>
      <c r="D20" s="113"/>
      <c r="E20" s="113"/>
      <c r="F20" s="113"/>
      <c r="G20" s="113"/>
      <c r="H20" s="113"/>
      <c r="I20" s="113"/>
      <c r="J20" s="113"/>
      <c r="K20" s="113"/>
      <c r="L20" s="113"/>
      <c r="M20" s="113">
        <f t="shared" si="4"/>
        <v>0</v>
      </c>
      <c r="N20" s="113"/>
      <c r="O20" s="113"/>
      <c r="P20" s="113"/>
      <c r="Q20" s="113">
        <v>639</v>
      </c>
      <c r="R20" s="113"/>
      <c r="S20" s="113"/>
      <c r="T20" s="55"/>
    </row>
    <row r="21" spans="1:20" ht="18.75" customHeight="1">
      <c r="A21" s="66">
        <v>9</v>
      </c>
      <c r="B21" s="115" t="s">
        <v>170</v>
      </c>
      <c r="C21" s="114">
        <f t="shared" si="3"/>
        <v>15989</v>
      </c>
      <c r="D21" s="113"/>
      <c r="E21" s="113">
        <v>600</v>
      </c>
      <c r="F21" s="113"/>
      <c r="G21" s="113"/>
      <c r="H21" s="113"/>
      <c r="I21" s="113"/>
      <c r="J21" s="113"/>
      <c r="K21" s="113"/>
      <c r="L21" s="113"/>
      <c r="M21" s="113">
        <f t="shared" si="4"/>
        <v>14033</v>
      </c>
      <c r="N21" s="113">
        <v>8000</v>
      </c>
      <c r="O21" s="113"/>
      <c r="P21" s="113">
        <v>6033</v>
      </c>
      <c r="Q21" s="113">
        <v>907</v>
      </c>
      <c r="R21" s="113"/>
      <c r="S21" s="113">
        <v>449</v>
      </c>
      <c r="T21" s="55"/>
    </row>
    <row r="22" spans="1:20" ht="18.75" customHeight="1">
      <c r="A22" s="66">
        <v>10</v>
      </c>
      <c r="B22" s="115" t="s">
        <v>171</v>
      </c>
      <c r="C22" s="114">
        <f t="shared" si="3"/>
        <v>382</v>
      </c>
      <c r="D22" s="113"/>
      <c r="E22" s="113"/>
      <c r="F22" s="113"/>
      <c r="G22" s="113"/>
      <c r="H22" s="113"/>
      <c r="I22" s="113"/>
      <c r="J22" s="113"/>
      <c r="K22" s="113"/>
      <c r="L22" s="113"/>
      <c r="M22" s="113">
        <f t="shared" si="4"/>
        <v>0</v>
      </c>
      <c r="N22" s="113"/>
      <c r="O22" s="113"/>
      <c r="P22" s="113"/>
      <c r="Q22" s="113">
        <v>328</v>
      </c>
      <c r="R22" s="113"/>
      <c r="S22" s="113">
        <v>54</v>
      </c>
      <c r="T22" s="55"/>
    </row>
    <row r="23" spans="1:20" ht="18.75" customHeight="1">
      <c r="A23" s="66">
        <v>11</v>
      </c>
      <c r="B23" s="115" t="s">
        <v>172</v>
      </c>
      <c r="C23" s="114">
        <f t="shared" si="3"/>
        <v>1920</v>
      </c>
      <c r="D23" s="113"/>
      <c r="E23" s="113"/>
      <c r="F23" s="113"/>
      <c r="G23" s="113"/>
      <c r="H23" s="113"/>
      <c r="I23" s="113"/>
      <c r="J23" s="113"/>
      <c r="K23" s="113"/>
      <c r="L23" s="113"/>
      <c r="M23" s="113">
        <f t="shared" si="4"/>
        <v>0</v>
      </c>
      <c r="N23" s="113"/>
      <c r="O23" s="113"/>
      <c r="P23" s="113"/>
      <c r="Q23" s="113">
        <v>1920</v>
      </c>
      <c r="R23" s="113"/>
      <c r="S23" s="113"/>
      <c r="T23" s="55"/>
    </row>
    <row r="24" spans="1:20" ht="18.75" customHeight="1">
      <c r="A24" s="66">
        <v>12</v>
      </c>
      <c r="B24" s="115" t="s">
        <v>370</v>
      </c>
      <c r="C24" s="114">
        <f t="shared" si="3"/>
        <v>46458</v>
      </c>
      <c r="D24" s="113"/>
      <c r="E24" s="113"/>
      <c r="F24" s="113"/>
      <c r="G24" s="113"/>
      <c r="H24" s="113"/>
      <c r="I24" s="113"/>
      <c r="J24" s="113"/>
      <c r="K24" s="113"/>
      <c r="L24" s="113"/>
      <c r="M24" s="113">
        <f t="shared" si="4"/>
        <v>0</v>
      </c>
      <c r="N24" s="113"/>
      <c r="O24" s="113"/>
      <c r="P24" s="113"/>
      <c r="Q24" s="113">
        <v>915</v>
      </c>
      <c r="R24" s="113">
        <v>45418</v>
      </c>
      <c r="S24" s="113">
        <v>125</v>
      </c>
      <c r="T24" s="55"/>
    </row>
    <row r="25" spans="1:20" ht="18.75" customHeight="1">
      <c r="A25" s="66">
        <v>13</v>
      </c>
      <c r="B25" s="115" t="s">
        <v>174</v>
      </c>
      <c r="C25" s="114">
        <f t="shared" si="3"/>
        <v>641</v>
      </c>
      <c r="D25" s="113"/>
      <c r="E25" s="113"/>
      <c r="F25" s="113"/>
      <c r="G25" s="113"/>
      <c r="H25" s="113"/>
      <c r="I25" s="113"/>
      <c r="J25" s="113"/>
      <c r="K25" s="113"/>
      <c r="L25" s="113"/>
      <c r="M25" s="113">
        <f t="shared" si="4"/>
        <v>0</v>
      </c>
      <c r="N25" s="113"/>
      <c r="O25" s="113"/>
      <c r="P25" s="113"/>
      <c r="Q25" s="113">
        <v>257</v>
      </c>
      <c r="R25" s="113">
        <v>127</v>
      </c>
      <c r="S25" s="113">
        <v>257</v>
      </c>
      <c r="T25" s="55"/>
    </row>
    <row r="26" spans="1:20" ht="18.75" customHeight="1">
      <c r="A26" s="66">
        <v>14</v>
      </c>
      <c r="B26" s="115" t="s">
        <v>371</v>
      </c>
      <c r="C26" s="114">
        <f t="shared" si="3"/>
        <v>930</v>
      </c>
      <c r="D26" s="113"/>
      <c r="E26" s="113"/>
      <c r="F26" s="113"/>
      <c r="G26" s="113"/>
      <c r="H26" s="113"/>
      <c r="I26" s="113"/>
      <c r="J26" s="113"/>
      <c r="K26" s="113"/>
      <c r="L26" s="113"/>
      <c r="M26" s="113">
        <f t="shared" si="4"/>
        <v>0</v>
      </c>
      <c r="N26" s="113"/>
      <c r="O26" s="113"/>
      <c r="P26" s="113"/>
      <c r="Q26" s="113">
        <v>728</v>
      </c>
      <c r="R26" s="113"/>
      <c r="S26" s="113">
        <v>202</v>
      </c>
      <c r="T26" s="55"/>
    </row>
    <row r="27" spans="1:20" ht="18.75" customHeight="1">
      <c r="A27" s="66">
        <v>15</v>
      </c>
      <c r="B27" s="115" t="s">
        <v>372</v>
      </c>
      <c r="C27" s="114">
        <f t="shared" si="3"/>
        <v>424980</v>
      </c>
      <c r="D27" s="113">
        <f>419005+4589</f>
        <v>423594</v>
      </c>
      <c r="E27" s="113"/>
      <c r="F27" s="113"/>
      <c r="G27" s="113"/>
      <c r="H27" s="113"/>
      <c r="I27" s="113"/>
      <c r="J27" s="113"/>
      <c r="K27" s="113"/>
      <c r="L27" s="113"/>
      <c r="M27" s="113">
        <f t="shared" si="4"/>
        <v>0</v>
      </c>
      <c r="N27" s="113"/>
      <c r="O27" s="113"/>
      <c r="P27" s="113"/>
      <c r="Q27" s="113">
        <v>1386</v>
      </c>
      <c r="R27" s="113"/>
      <c r="S27" s="113"/>
      <c r="T27" s="55"/>
    </row>
    <row r="28" spans="1:20" ht="18.75" customHeight="1">
      <c r="A28" s="66">
        <v>16</v>
      </c>
      <c r="B28" s="115" t="s">
        <v>362</v>
      </c>
      <c r="C28" s="114">
        <f t="shared" si="3"/>
        <v>926</v>
      </c>
      <c r="D28" s="113">
        <v>926</v>
      </c>
      <c r="E28" s="113"/>
      <c r="F28" s="113"/>
      <c r="G28" s="113"/>
      <c r="H28" s="113"/>
      <c r="I28" s="113"/>
      <c r="J28" s="113"/>
      <c r="K28" s="113"/>
      <c r="L28" s="113"/>
      <c r="M28" s="113">
        <f t="shared" si="4"/>
        <v>0</v>
      </c>
      <c r="N28" s="113"/>
      <c r="O28" s="113"/>
      <c r="P28" s="113"/>
      <c r="Q28" s="113"/>
      <c r="R28" s="113"/>
      <c r="S28" s="113"/>
      <c r="T28" s="55"/>
    </row>
    <row r="29" spans="1:20" ht="18.75" customHeight="1">
      <c r="A29" s="66">
        <v>17</v>
      </c>
      <c r="B29" s="115" t="s">
        <v>234</v>
      </c>
      <c r="C29" s="114">
        <f t="shared" si="3"/>
        <v>4461</v>
      </c>
      <c r="D29" s="113">
        <v>3724</v>
      </c>
      <c r="E29" s="113"/>
      <c r="F29" s="113"/>
      <c r="G29" s="113"/>
      <c r="H29" s="113"/>
      <c r="I29" s="113"/>
      <c r="J29" s="113"/>
      <c r="K29" s="113"/>
      <c r="L29" s="113"/>
      <c r="M29" s="113">
        <f t="shared" si="4"/>
        <v>0</v>
      </c>
      <c r="N29" s="113"/>
      <c r="O29" s="113"/>
      <c r="P29" s="113"/>
      <c r="Q29" s="113"/>
      <c r="R29" s="113"/>
      <c r="S29" s="113">
        <v>737</v>
      </c>
      <c r="T29" s="55"/>
    </row>
    <row r="30" spans="1:20" ht="18.75" customHeight="1">
      <c r="A30" s="66">
        <v>18</v>
      </c>
      <c r="B30" s="115" t="s">
        <v>176</v>
      </c>
      <c r="C30" s="114">
        <f t="shared" si="3"/>
        <v>149</v>
      </c>
      <c r="D30" s="113"/>
      <c r="E30" s="113"/>
      <c r="F30" s="113"/>
      <c r="G30" s="113"/>
      <c r="H30" s="113"/>
      <c r="I30" s="113"/>
      <c r="J30" s="113"/>
      <c r="K30" s="113"/>
      <c r="L30" s="113"/>
      <c r="M30" s="113">
        <f t="shared" si="4"/>
        <v>149</v>
      </c>
      <c r="N30" s="113"/>
      <c r="O30" s="113"/>
      <c r="P30" s="113">
        <v>149</v>
      </c>
      <c r="Q30" s="113"/>
      <c r="R30" s="113"/>
      <c r="S30" s="113"/>
      <c r="T30" s="55"/>
    </row>
    <row r="31" spans="1:20" ht="18.75" customHeight="1">
      <c r="A31" s="66">
        <v>19</v>
      </c>
      <c r="B31" s="115" t="s">
        <v>239</v>
      </c>
      <c r="C31" s="114">
        <f t="shared" si="3"/>
        <v>6784</v>
      </c>
      <c r="D31" s="113"/>
      <c r="E31" s="113"/>
      <c r="F31" s="113"/>
      <c r="G31" s="113"/>
      <c r="H31" s="113"/>
      <c r="I31" s="113"/>
      <c r="J31" s="113"/>
      <c r="K31" s="113"/>
      <c r="L31" s="113"/>
      <c r="M31" s="113">
        <f t="shared" si="4"/>
        <v>6784</v>
      </c>
      <c r="N31" s="113"/>
      <c r="O31" s="113">
        <v>3500</v>
      </c>
      <c r="P31" s="113">
        <v>3284</v>
      </c>
      <c r="Q31" s="113"/>
      <c r="R31" s="113"/>
      <c r="S31" s="113"/>
      <c r="T31" s="55"/>
    </row>
    <row r="32" spans="1:20" ht="18.75" customHeight="1">
      <c r="A32" s="66">
        <v>20</v>
      </c>
      <c r="B32" s="115" t="s">
        <v>240</v>
      </c>
      <c r="C32" s="114">
        <f t="shared" si="3"/>
        <v>785</v>
      </c>
      <c r="D32" s="113"/>
      <c r="E32" s="113"/>
      <c r="F32" s="113"/>
      <c r="G32" s="113"/>
      <c r="H32" s="113"/>
      <c r="I32" s="113"/>
      <c r="J32" s="113"/>
      <c r="K32" s="113"/>
      <c r="L32" s="113"/>
      <c r="M32" s="113">
        <f t="shared" si="4"/>
        <v>785</v>
      </c>
      <c r="N32" s="113"/>
      <c r="O32" s="113"/>
      <c r="P32" s="113">
        <v>785</v>
      </c>
      <c r="Q32" s="113"/>
      <c r="R32" s="113"/>
      <c r="S32" s="113"/>
      <c r="T32" s="55"/>
    </row>
    <row r="33" spans="1:20" ht="18.75" customHeight="1">
      <c r="A33" s="66">
        <v>21</v>
      </c>
      <c r="B33" s="115" t="s">
        <v>373</v>
      </c>
      <c r="C33" s="114">
        <f t="shared" si="3"/>
        <v>5006</v>
      </c>
      <c r="D33" s="113"/>
      <c r="E33" s="113"/>
      <c r="F33" s="113"/>
      <c r="G33" s="113"/>
      <c r="H33" s="113"/>
      <c r="I33" s="113">
        <v>1786</v>
      </c>
      <c r="J33" s="113">
        <v>2604</v>
      </c>
      <c r="K33" s="113">
        <v>616</v>
      </c>
      <c r="L33" s="113"/>
      <c r="M33" s="113">
        <f t="shared" si="4"/>
        <v>0</v>
      </c>
      <c r="N33" s="113"/>
      <c r="O33" s="113"/>
      <c r="P33" s="113"/>
      <c r="Q33" s="113"/>
      <c r="R33" s="113"/>
      <c r="S33" s="113"/>
      <c r="T33" s="55"/>
    </row>
    <row r="34" spans="1:20" ht="18.75" customHeight="1">
      <c r="A34" s="66">
        <v>22</v>
      </c>
      <c r="B34" s="115" t="s">
        <v>177</v>
      </c>
      <c r="C34" s="114">
        <f t="shared" si="3"/>
        <v>1432</v>
      </c>
      <c r="D34" s="113"/>
      <c r="E34" s="113"/>
      <c r="F34" s="113"/>
      <c r="G34" s="113">
        <v>1432</v>
      </c>
      <c r="H34" s="113"/>
      <c r="I34" s="113"/>
      <c r="J34" s="113"/>
      <c r="K34" s="113"/>
      <c r="L34" s="113"/>
      <c r="M34" s="113">
        <f t="shared" si="4"/>
        <v>0</v>
      </c>
      <c r="N34" s="113"/>
      <c r="O34" s="113"/>
      <c r="P34" s="113"/>
      <c r="Q34" s="113"/>
      <c r="R34" s="113"/>
      <c r="S34" s="113"/>
      <c r="T34" s="55"/>
    </row>
    <row r="35" spans="1:20" ht="18.75" customHeight="1">
      <c r="A35" s="66">
        <v>23</v>
      </c>
      <c r="B35" s="115" t="s">
        <v>374</v>
      </c>
      <c r="C35" s="114">
        <f t="shared" si="3"/>
        <v>4854</v>
      </c>
      <c r="D35" s="113"/>
      <c r="E35" s="113"/>
      <c r="F35" s="113">
        <v>4854</v>
      </c>
      <c r="G35" s="113"/>
      <c r="H35" s="113"/>
      <c r="I35" s="113"/>
      <c r="J35" s="113"/>
      <c r="K35" s="113"/>
      <c r="L35" s="113"/>
      <c r="M35" s="113">
        <f t="shared" si="4"/>
        <v>0</v>
      </c>
      <c r="N35" s="113"/>
      <c r="O35" s="113"/>
      <c r="P35" s="113"/>
      <c r="Q35" s="113"/>
      <c r="R35" s="113"/>
      <c r="S35" s="113"/>
      <c r="T35" s="55"/>
    </row>
    <row r="36" spans="1:20" ht="18.75" customHeight="1">
      <c r="A36" s="66">
        <v>24</v>
      </c>
      <c r="B36" s="115" t="s">
        <v>375</v>
      </c>
      <c r="C36" s="114">
        <f t="shared" si="3"/>
        <v>15914</v>
      </c>
      <c r="D36" s="113"/>
      <c r="E36" s="113"/>
      <c r="F36" s="113"/>
      <c r="G36" s="113"/>
      <c r="H36" s="113"/>
      <c r="I36" s="113"/>
      <c r="J36" s="113"/>
      <c r="K36" s="113"/>
      <c r="L36" s="113"/>
      <c r="M36" s="113">
        <f t="shared" si="4"/>
        <v>15722</v>
      </c>
      <c r="N36" s="113">
        <v>11013</v>
      </c>
      <c r="O36" s="113">
        <v>1890</v>
      </c>
      <c r="P36" s="113">
        <v>2819</v>
      </c>
      <c r="Q36" s="113"/>
      <c r="R36" s="113"/>
      <c r="S36" s="113">
        <v>192</v>
      </c>
      <c r="T36" s="55"/>
    </row>
    <row r="37" spans="1:20" ht="18.75" customHeight="1">
      <c r="A37" s="66">
        <v>25</v>
      </c>
      <c r="B37" s="115" t="s">
        <v>180</v>
      </c>
      <c r="C37" s="114">
        <f t="shared" si="3"/>
        <v>18140</v>
      </c>
      <c r="D37" s="113">
        <v>653</v>
      </c>
      <c r="E37" s="113"/>
      <c r="F37" s="113"/>
      <c r="G37" s="113"/>
      <c r="H37" s="113"/>
      <c r="I37" s="113"/>
      <c r="J37" s="113"/>
      <c r="K37" s="113"/>
      <c r="L37" s="113"/>
      <c r="M37" s="113">
        <f t="shared" si="4"/>
        <v>10639</v>
      </c>
      <c r="N37" s="113"/>
      <c r="O37" s="113">
        <v>2796</v>
      </c>
      <c r="P37" s="113">
        <f>700+7143</f>
        <v>7843</v>
      </c>
      <c r="Q37" s="113"/>
      <c r="R37" s="113"/>
      <c r="S37" s="113">
        <v>6848</v>
      </c>
      <c r="T37" s="55"/>
    </row>
    <row r="38" spans="1:19" s="12" customFormat="1" ht="21" customHeight="1">
      <c r="A38" s="91" t="s">
        <v>22</v>
      </c>
      <c r="B38" s="117" t="s">
        <v>195</v>
      </c>
      <c r="C38" s="114">
        <f aca="true" t="shared" si="5" ref="C38:S38">SUM(C39:C47)</f>
        <v>75730</v>
      </c>
      <c r="D38" s="114">
        <f t="shared" si="5"/>
        <v>16124</v>
      </c>
      <c r="E38" s="114">
        <f t="shared" si="5"/>
        <v>0</v>
      </c>
      <c r="F38" s="114">
        <f t="shared" si="5"/>
        <v>0</v>
      </c>
      <c r="G38" s="114">
        <f t="shared" si="5"/>
        <v>0</v>
      </c>
      <c r="H38" s="114">
        <f t="shared" si="5"/>
        <v>1815</v>
      </c>
      <c r="I38" s="114">
        <f t="shared" si="5"/>
        <v>4649</v>
      </c>
      <c r="J38" s="114">
        <f t="shared" si="5"/>
        <v>0</v>
      </c>
      <c r="K38" s="114">
        <f t="shared" si="5"/>
        <v>0</v>
      </c>
      <c r="L38" s="114">
        <f t="shared" si="5"/>
        <v>0</v>
      </c>
      <c r="M38" s="114">
        <f t="shared" si="5"/>
        <v>46675</v>
      </c>
      <c r="N38" s="114">
        <f t="shared" si="5"/>
        <v>0</v>
      </c>
      <c r="O38" s="114">
        <f t="shared" si="5"/>
        <v>18316</v>
      </c>
      <c r="P38" s="114">
        <f t="shared" si="5"/>
        <v>28359</v>
      </c>
      <c r="Q38" s="114">
        <f t="shared" si="5"/>
        <v>1805</v>
      </c>
      <c r="R38" s="114">
        <f t="shared" si="5"/>
        <v>4662</v>
      </c>
      <c r="S38" s="114">
        <f t="shared" si="5"/>
        <v>0</v>
      </c>
    </row>
    <row r="39" spans="1:20" ht="18.75" customHeight="1">
      <c r="A39" s="66">
        <v>1</v>
      </c>
      <c r="B39" s="115" t="s">
        <v>377</v>
      </c>
      <c r="C39" s="114">
        <f aca="true" t="shared" si="6" ref="C39:C47">SUM(D39:M39)+SUM(Q39:S39)</f>
        <v>3846</v>
      </c>
      <c r="D39" s="113"/>
      <c r="E39" s="113"/>
      <c r="F39" s="113"/>
      <c r="G39" s="113"/>
      <c r="H39" s="113"/>
      <c r="I39" s="113"/>
      <c r="J39" s="113"/>
      <c r="K39" s="113"/>
      <c r="L39" s="113"/>
      <c r="M39" s="113">
        <f aca="true" t="shared" si="7" ref="M39:M47">N39+O39+P39</f>
        <v>0</v>
      </c>
      <c r="N39" s="113"/>
      <c r="O39" s="113"/>
      <c r="P39" s="113"/>
      <c r="Q39" s="113"/>
      <c r="R39" s="113">
        <v>3846</v>
      </c>
      <c r="S39" s="113"/>
      <c r="T39" s="55"/>
    </row>
    <row r="40" spans="1:20" ht="18.75" customHeight="1">
      <c r="A40" s="66">
        <v>2</v>
      </c>
      <c r="B40" s="115" t="s">
        <v>367</v>
      </c>
      <c r="C40" s="114">
        <f t="shared" si="6"/>
        <v>18546</v>
      </c>
      <c r="D40" s="113"/>
      <c r="E40" s="113"/>
      <c r="F40" s="113"/>
      <c r="G40" s="113"/>
      <c r="H40" s="113"/>
      <c r="I40" s="113"/>
      <c r="J40" s="113"/>
      <c r="K40" s="113"/>
      <c r="L40" s="113"/>
      <c r="M40" s="113">
        <f t="shared" si="7"/>
        <v>18316</v>
      </c>
      <c r="N40" s="113"/>
      <c r="O40" s="113">
        <v>18316</v>
      </c>
      <c r="P40" s="113"/>
      <c r="Q40" s="113">
        <v>230</v>
      </c>
      <c r="R40" s="113"/>
      <c r="S40" s="113"/>
      <c r="T40" s="55"/>
    </row>
    <row r="41" spans="1:20" ht="18.75" customHeight="1">
      <c r="A41" s="66">
        <v>3</v>
      </c>
      <c r="B41" s="115" t="s">
        <v>170</v>
      </c>
      <c r="C41" s="114">
        <f t="shared" si="6"/>
        <v>14964</v>
      </c>
      <c r="D41" s="113"/>
      <c r="E41" s="113"/>
      <c r="F41" s="113"/>
      <c r="G41" s="113"/>
      <c r="H41" s="113"/>
      <c r="I41" s="113"/>
      <c r="J41" s="113"/>
      <c r="K41" s="113"/>
      <c r="L41" s="113"/>
      <c r="M41" s="113">
        <f t="shared" si="7"/>
        <v>14964</v>
      </c>
      <c r="N41" s="113"/>
      <c r="O41" s="113"/>
      <c r="P41" s="113">
        <v>14964</v>
      </c>
      <c r="Q41" s="113"/>
      <c r="R41" s="113"/>
      <c r="S41" s="113"/>
      <c r="T41" s="55"/>
    </row>
    <row r="42" spans="1:20" ht="18.75" customHeight="1">
      <c r="A42" s="66">
        <v>4</v>
      </c>
      <c r="B42" s="115" t="s">
        <v>171</v>
      </c>
      <c r="C42" s="114">
        <f t="shared" si="6"/>
        <v>1815</v>
      </c>
      <c r="D42" s="113"/>
      <c r="E42" s="113"/>
      <c r="F42" s="113"/>
      <c r="G42" s="113"/>
      <c r="H42" s="113">
        <v>1815</v>
      </c>
      <c r="I42" s="113"/>
      <c r="J42" s="113"/>
      <c r="K42" s="113"/>
      <c r="L42" s="113"/>
      <c r="M42" s="113">
        <f t="shared" si="7"/>
        <v>0</v>
      </c>
      <c r="N42" s="113"/>
      <c r="O42" s="113"/>
      <c r="P42" s="113"/>
      <c r="Q42" s="113"/>
      <c r="R42" s="113"/>
      <c r="S42" s="113"/>
      <c r="T42" s="55"/>
    </row>
    <row r="43" spans="1:20" ht="18.75" customHeight="1">
      <c r="A43" s="66">
        <v>5</v>
      </c>
      <c r="B43" s="115" t="s">
        <v>370</v>
      </c>
      <c r="C43" s="114">
        <f t="shared" si="6"/>
        <v>4168</v>
      </c>
      <c r="D43" s="113"/>
      <c r="E43" s="113"/>
      <c r="F43" s="113"/>
      <c r="G43" s="113"/>
      <c r="H43" s="113"/>
      <c r="I43" s="113">
        <v>477</v>
      </c>
      <c r="J43" s="113"/>
      <c r="K43" s="113"/>
      <c r="L43" s="113"/>
      <c r="M43" s="113">
        <f t="shared" si="7"/>
        <v>2116</v>
      </c>
      <c r="N43" s="113"/>
      <c r="O43" s="113"/>
      <c r="P43" s="113">
        <f>979+1137</f>
        <v>2116</v>
      </c>
      <c r="Q43" s="113">
        <v>1575</v>
      </c>
      <c r="R43" s="113"/>
      <c r="S43" s="113"/>
      <c r="T43" s="55"/>
    </row>
    <row r="44" spans="1:20" ht="18.75" customHeight="1">
      <c r="A44" s="66">
        <v>6</v>
      </c>
      <c r="B44" s="115" t="s">
        <v>174</v>
      </c>
      <c r="C44" s="114">
        <f t="shared" si="6"/>
        <v>5134</v>
      </c>
      <c r="D44" s="113"/>
      <c r="E44" s="113"/>
      <c r="F44" s="113"/>
      <c r="G44" s="113"/>
      <c r="H44" s="113"/>
      <c r="I44" s="113"/>
      <c r="J44" s="113"/>
      <c r="K44" s="113"/>
      <c r="L44" s="113"/>
      <c r="M44" s="113">
        <f t="shared" si="7"/>
        <v>4318</v>
      </c>
      <c r="N44" s="113"/>
      <c r="O44" s="113"/>
      <c r="P44" s="113">
        <v>4318</v>
      </c>
      <c r="Q44" s="113"/>
      <c r="R44" s="113">
        <v>816</v>
      </c>
      <c r="S44" s="113"/>
      <c r="T44" s="55"/>
    </row>
    <row r="45" spans="1:20" ht="18.75" customHeight="1">
      <c r="A45" s="66">
        <v>7</v>
      </c>
      <c r="B45" s="115" t="s">
        <v>371</v>
      </c>
      <c r="C45" s="114">
        <f t="shared" si="6"/>
        <v>4723</v>
      </c>
      <c r="D45" s="113"/>
      <c r="E45" s="113"/>
      <c r="F45" s="113"/>
      <c r="G45" s="113"/>
      <c r="H45" s="113"/>
      <c r="I45" s="113">
        <f>483+1527+432+1730</f>
        <v>4172</v>
      </c>
      <c r="J45" s="113"/>
      <c r="K45" s="113"/>
      <c r="L45" s="113"/>
      <c r="M45" s="113">
        <f t="shared" si="7"/>
        <v>551</v>
      </c>
      <c r="N45" s="113"/>
      <c r="O45" s="113"/>
      <c r="P45" s="113">
        <v>551</v>
      </c>
      <c r="Q45" s="113"/>
      <c r="R45" s="113"/>
      <c r="S45" s="113"/>
      <c r="T45" s="55"/>
    </row>
    <row r="46" spans="1:20" ht="18.75" customHeight="1">
      <c r="A46" s="66">
        <v>8</v>
      </c>
      <c r="B46" s="115" t="s">
        <v>234</v>
      </c>
      <c r="C46" s="114">
        <f t="shared" si="6"/>
        <v>16124</v>
      </c>
      <c r="D46" s="113">
        <f>3450+1631+11043</f>
        <v>16124</v>
      </c>
      <c r="E46" s="113"/>
      <c r="F46" s="113"/>
      <c r="G46" s="113"/>
      <c r="H46" s="113"/>
      <c r="I46" s="113"/>
      <c r="J46" s="113"/>
      <c r="K46" s="113"/>
      <c r="L46" s="113"/>
      <c r="M46" s="113">
        <f t="shared" si="7"/>
        <v>0</v>
      </c>
      <c r="N46" s="113"/>
      <c r="O46" s="113"/>
      <c r="P46" s="113"/>
      <c r="Q46" s="113"/>
      <c r="R46" s="113"/>
      <c r="S46" s="113"/>
      <c r="T46" s="55"/>
    </row>
    <row r="47" spans="1:20" ht="18.75" customHeight="1">
      <c r="A47" s="66">
        <v>9</v>
      </c>
      <c r="B47" s="115" t="s">
        <v>375</v>
      </c>
      <c r="C47" s="114">
        <f t="shared" si="6"/>
        <v>6410</v>
      </c>
      <c r="D47" s="113"/>
      <c r="E47" s="113"/>
      <c r="F47" s="113"/>
      <c r="G47" s="113"/>
      <c r="H47" s="113"/>
      <c r="I47" s="113"/>
      <c r="J47" s="113"/>
      <c r="K47" s="113"/>
      <c r="L47" s="113"/>
      <c r="M47" s="113">
        <f t="shared" si="7"/>
        <v>6410</v>
      </c>
      <c r="N47" s="113"/>
      <c r="O47" s="113"/>
      <c r="P47" s="113">
        <v>6410</v>
      </c>
      <c r="Q47" s="113"/>
      <c r="R47" s="113"/>
      <c r="S47" s="113"/>
      <c r="T47" s="55"/>
    </row>
    <row r="48" spans="1:19" s="12" customFormat="1" ht="21" customHeight="1">
      <c r="A48" s="91" t="s">
        <v>23</v>
      </c>
      <c r="B48" s="117" t="s">
        <v>196</v>
      </c>
      <c r="C48" s="114">
        <f>SUM(D48:M48)+SUM(Q48:S48)</f>
        <v>28</v>
      </c>
      <c r="D48" s="114">
        <f aca="true" t="shared" si="8" ref="D48:S48">SUM(D49:D49)</f>
        <v>0</v>
      </c>
      <c r="E48" s="114">
        <f t="shared" si="8"/>
        <v>0</v>
      </c>
      <c r="F48" s="114">
        <f t="shared" si="8"/>
        <v>0</v>
      </c>
      <c r="G48" s="114">
        <f t="shared" si="8"/>
        <v>28</v>
      </c>
      <c r="H48" s="114">
        <f t="shared" si="8"/>
        <v>0</v>
      </c>
      <c r="I48" s="114">
        <f t="shared" si="8"/>
        <v>0</v>
      </c>
      <c r="J48" s="114">
        <f t="shared" si="8"/>
        <v>0</v>
      </c>
      <c r="K48" s="114">
        <f t="shared" si="8"/>
        <v>0</v>
      </c>
      <c r="L48" s="114">
        <f t="shared" si="8"/>
        <v>0</v>
      </c>
      <c r="M48" s="114">
        <f t="shared" si="8"/>
        <v>0</v>
      </c>
      <c r="N48" s="114">
        <f t="shared" si="8"/>
        <v>0</v>
      </c>
      <c r="O48" s="114">
        <f t="shared" si="8"/>
        <v>0</v>
      </c>
      <c r="P48" s="114">
        <f t="shared" si="8"/>
        <v>0</v>
      </c>
      <c r="Q48" s="114">
        <f t="shared" si="8"/>
        <v>0</v>
      </c>
      <c r="R48" s="114">
        <f t="shared" si="8"/>
        <v>0</v>
      </c>
      <c r="S48" s="114">
        <f t="shared" si="8"/>
        <v>0</v>
      </c>
    </row>
    <row r="49" spans="1:19" ht="21" customHeight="1" thickBot="1">
      <c r="A49" s="437">
        <v>1</v>
      </c>
      <c r="B49" s="438" t="s">
        <v>177</v>
      </c>
      <c r="C49" s="471">
        <f>SUM(D49:M49)+SUM(Q49:S49)</f>
        <v>28</v>
      </c>
      <c r="D49" s="439"/>
      <c r="E49" s="439"/>
      <c r="F49" s="439"/>
      <c r="G49" s="439">
        <v>28</v>
      </c>
      <c r="H49" s="439"/>
      <c r="I49" s="439"/>
      <c r="J49" s="439"/>
      <c r="K49" s="439"/>
      <c r="L49" s="439"/>
      <c r="M49" s="439">
        <f t="shared" si="4"/>
        <v>0</v>
      </c>
      <c r="N49" s="439"/>
      <c r="O49" s="439"/>
      <c r="P49" s="439"/>
      <c r="Q49" s="439"/>
      <c r="R49" s="439"/>
      <c r="S49" s="439"/>
    </row>
    <row r="50" spans="1:19" ht="16.5" thickTop="1">
      <c r="A50" s="67"/>
      <c r="B50" s="122"/>
      <c r="C50" s="67"/>
      <c r="D50" s="67"/>
      <c r="E50" s="67"/>
      <c r="F50" s="67"/>
      <c r="G50" s="67"/>
      <c r="H50" s="67"/>
      <c r="I50" s="67"/>
      <c r="J50" s="67"/>
      <c r="K50" s="67"/>
      <c r="L50" s="67"/>
      <c r="M50" s="67"/>
      <c r="N50" s="67"/>
      <c r="O50" s="67"/>
      <c r="P50" s="67"/>
      <c r="Q50" s="67"/>
      <c r="R50" s="67"/>
      <c r="S50" s="67"/>
    </row>
    <row r="51" spans="1:19" ht="15.75">
      <c r="A51" s="67"/>
      <c r="B51" s="67"/>
      <c r="C51" s="67"/>
      <c r="D51" s="67"/>
      <c r="E51" s="67"/>
      <c r="F51" s="67"/>
      <c r="G51" s="67"/>
      <c r="H51" s="67"/>
      <c r="I51" s="67"/>
      <c r="J51" s="67"/>
      <c r="K51" s="67"/>
      <c r="L51" s="67"/>
      <c r="M51" s="67"/>
      <c r="N51" s="67"/>
      <c r="O51" s="67"/>
      <c r="P51" s="67"/>
      <c r="Q51" s="67"/>
      <c r="R51" s="67"/>
      <c r="S51" s="67"/>
    </row>
    <row r="54" ht="15.75">
      <c r="C54" s="55"/>
    </row>
    <row r="57" ht="22.5" customHeight="1"/>
    <row r="58" spans="1:19" ht="18.75">
      <c r="A58" s="33"/>
      <c r="B58" s="33"/>
      <c r="C58" s="33"/>
      <c r="D58" s="33"/>
      <c r="E58" s="33"/>
      <c r="F58" s="33"/>
      <c r="G58" s="33"/>
      <c r="H58" s="33"/>
      <c r="I58" s="33"/>
      <c r="J58" s="33"/>
      <c r="K58" s="33"/>
      <c r="L58" s="33"/>
      <c r="M58" s="33"/>
      <c r="N58" s="33"/>
      <c r="O58" s="33"/>
      <c r="P58" s="33"/>
      <c r="Q58" s="33"/>
      <c r="R58" s="33"/>
      <c r="S58" s="33"/>
    </row>
    <row r="59" spans="1:19" ht="18.75">
      <c r="A59" s="33"/>
      <c r="B59" s="33"/>
      <c r="C59" s="33"/>
      <c r="D59" s="33"/>
      <c r="E59" s="33"/>
      <c r="F59" s="33"/>
      <c r="G59" s="33"/>
      <c r="H59" s="33"/>
      <c r="I59" s="33"/>
      <c r="J59" s="33"/>
      <c r="K59" s="33"/>
      <c r="L59" s="33"/>
      <c r="M59" s="33"/>
      <c r="N59" s="33"/>
      <c r="O59" s="33"/>
      <c r="P59" s="33"/>
      <c r="Q59" s="33"/>
      <c r="R59" s="33"/>
      <c r="S59" s="33"/>
    </row>
    <row r="60" spans="1:19" ht="18.75">
      <c r="A60" s="33"/>
      <c r="B60" s="33"/>
      <c r="C60" s="33"/>
      <c r="D60" s="33"/>
      <c r="E60" s="33"/>
      <c r="F60" s="33"/>
      <c r="G60" s="33"/>
      <c r="H60" s="33"/>
      <c r="I60" s="33"/>
      <c r="J60" s="33"/>
      <c r="K60" s="33"/>
      <c r="L60" s="33"/>
      <c r="M60" s="33"/>
      <c r="N60" s="33"/>
      <c r="O60" s="33"/>
      <c r="P60" s="33"/>
      <c r="Q60" s="33"/>
      <c r="R60" s="33"/>
      <c r="S60" s="33"/>
    </row>
    <row r="61" spans="1:19" ht="18.75">
      <c r="A61" s="33"/>
      <c r="B61" s="33"/>
      <c r="C61" s="33"/>
      <c r="D61" s="33"/>
      <c r="E61" s="33"/>
      <c r="F61" s="33"/>
      <c r="G61" s="33"/>
      <c r="H61" s="33"/>
      <c r="I61" s="33"/>
      <c r="J61" s="33"/>
      <c r="K61" s="33"/>
      <c r="L61" s="33"/>
      <c r="M61" s="33"/>
      <c r="N61" s="33"/>
      <c r="O61" s="33"/>
      <c r="P61" s="33"/>
      <c r="Q61" s="33"/>
      <c r="R61" s="33"/>
      <c r="S61" s="33"/>
    </row>
  </sheetData>
  <sheetProtection/>
  <mergeCells count="20">
    <mergeCell ref="F6:F9"/>
    <mergeCell ref="A6:A9"/>
    <mergeCell ref="C6:C9"/>
    <mergeCell ref="D6:D9"/>
    <mergeCell ref="E6:E9"/>
    <mergeCell ref="B6:B9"/>
    <mergeCell ref="L6:L9"/>
    <mergeCell ref="Q6:Q9"/>
    <mergeCell ref="M6:M9"/>
    <mergeCell ref="G6:G9"/>
    <mergeCell ref="H6:H9"/>
    <mergeCell ref="I6:I9"/>
    <mergeCell ref="J6:J9"/>
    <mergeCell ref="K6:K9"/>
    <mergeCell ref="S6:S9"/>
    <mergeCell ref="N7:N9"/>
    <mergeCell ref="O7:O9"/>
    <mergeCell ref="N6:P6"/>
    <mergeCell ref="P7:P9"/>
    <mergeCell ref="R6:R9"/>
  </mergeCells>
  <printOptions horizontalCentered="1"/>
  <pageMargins left="0.2" right="0" top="0.69" bottom="0.62" header="0.36" footer="0.44"/>
  <pageSetup fitToHeight="0" fitToWidth="1" horizontalDpi="600" verticalDpi="600" orientation="landscape" paperSize="9" scale="71" r:id="rId3"/>
  <headerFooter alignWithMargins="0">
    <oddFooter>&amp;C&amp;".VnTime,Italic"&amp;8
</oddFooter>
  </headerFooter>
  <legacyDrawing r:id="rId2"/>
</worksheet>
</file>

<file path=xl/worksheets/sheet12.xml><?xml version="1.0" encoding="utf-8"?>
<worksheet xmlns="http://schemas.openxmlformats.org/spreadsheetml/2006/main" xmlns:r="http://schemas.openxmlformats.org/officeDocument/2006/relationships">
  <sheetPr>
    <tabColor rgb="FFFFFF99"/>
    <pageSetUpPr fitToPage="1"/>
  </sheetPr>
  <dimension ref="A1:AB49"/>
  <sheetViews>
    <sheetView view="pageBreakPreview" zoomScale="60" zoomScaleNormal="55" zoomScalePageLayoutView="0" workbookViewId="0" topLeftCell="A1">
      <selection activeCell="A44" sqref="A44:Z44"/>
    </sheetView>
  </sheetViews>
  <sheetFormatPr defaultColWidth="8.796875" defaultRowHeight="15"/>
  <cols>
    <col min="1" max="1" width="5.59765625" style="71" customWidth="1"/>
    <col min="2" max="2" width="23.59765625" style="82" customWidth="1"/>
    <col min="3" max="4" width="9.19921875" style="71" customWidth="1"/>
    <col min="5" max="6" width="8.3984375" style="71" customWidth="1"/>
    <col min="7" max="7" width="8.09765625" style="71" customWidth="1"/>
    <col min="8" max="8" width="7" style="71" customWidth="1"/>
    <col min="9" max="9" width="6.59765625" style="71" customWidth="1"/>
    <col min="10" max="11" width="8.5" style="71" customWidth="1"/>
    <col min="12" max="12" width="5.8984375" style="71" customWidth="1"/>
    <col min="13" max="15" width="7" style="71" customWidth="1"/>
    <col min="16" max="16" width="6.59765625" style="71" customWidth="1"/>
    <col min="17" max="18" width="8.5" style="71" customWidth="1"/>
    <col min="19" max="19" width="5.8984375" style="71" customWidth="1"/>
    <col min="20" max="22" width="8.09765625" style="71" customWidth="1"/>
    <col min="23" max="23" width="6.69921875" style="71" customWidth="1"/>
    <col min="24" max="25" width="8.09765625" style="71" customWidth="1"/>
    <col min="26" max="26" width="6.59765625" style="71" customWidth="1"/>
    <col min="27" max="28" width="0" style="71" hidden="1" customWidth="1"/>
    <col min="29" max="16384" width="9" style="71" customWidth="1"/>
  </cols>
  <sheetData>
    <row r="1" spans="1:26" ht="21" customHeight="1">
      <c r="A1" s="169"/>
      <c r="B1" s="170"/>
      <c r="C1" s="171"/>
      <c r="D1" s="171"/>
      <c r="E1" s="171"/>
      <c r="F1" s="171"/>
      <c r="G1" s="171"/>
      <c r="H1" s="171"/>
      <c r="I1" s="171"/>
      <c r="J1" s="172"/>
      <c r="K1" s="172"/>
      <c r="L1" s="171"/>
      <c r="M1" s="171"/>
      <c r="N1" s="171"/>
      <c r="O1" s="171"/>
      <c r="P1" s="171"/>
      <c r="Q1" s="172"/>
      <c r="R1" s="172"/>
      <c r="S1" s="171"/>
      <c r="T1" s="401" t="s">
        <v>184</v>
      </c>
      <c r="U1" s="401"/>
      <c r="V1" s="401"/>
      <c r="W1" s="401"/>
      <c r="X1" s="401"/>
      <c r="Y1" s="401"/>
      <c r="Z1" s="401"/>
    </row>
    <row r="2" spans="1:26" ht="12.75" customHeight="1" hidden="1">
      <c r="A2" s="173"/>
      <c r="B2" s="174"/>
      <c r="C2" s="171"/>
      <c r="D2" s="171"/>
      <c r="E2" s="171"/>
      <c r="F2" s="171"/>
      <c r="G2" s="171"/>
      <c r="H2" s="171"/>
      <c r="I2" s="171"/>
      <c r="J2" s="171"/>
      <c r="K2" s="171"/>
      <c r="L2" s="171"/>
      <c r="M2" s="171"/>
      <c r="N2" s="171"/>
      <c r="O2" s="171"/>
      <c r="P2" s="171"/>
      <c r="Q2" s="171"/>
      <c r="R2" s="171"/>
      <c r="S2" s="171"/>
      <c r="T2" s="171"/>
      <c r="U2" s="171"/>
      <c r="V2" s="171"/>
      <c r="W2" s="171"/>
      <c r="X2" s="171"/>
      <c r="Y2" s="171"/>
      <c r="Z2" s="171"/>
    </row>
    <row r="3" spans="1:26" s="72" customFormat="1" ht="21" customHeight="1">
      <c r="A3" s="175" t="s">
        <v>382</v>
      </c>
      <c r="B3" s="176"/>
      <c r="C3" s="177"/>
      <c r="D3" s="177"/>
      <c r="E3" s="177"/>
      <c r="F3" s="177"/>
      <c r="G3" s="177"/>
      <c r="H3" s="177"/>
      <c r="I3" s="177"/>
      <c r="J3" s="177"/>
      <c r="K3" s="177"/>
      <c r="L3" s="177"/>
      <c r="M3" s="177"/>
      <c r="N3" s="177"/>
      <c r="O3" s="177"/>
      <c r="P3" s="177"/>
      <c r="Q3" s="177"/>
      <c r="R3" s="177"/>
      <c r="S3" s="177"/>
      <c r="T3" s="177"/>
      <c r="U3" s="177"/>
      <c r="V3" s="177"/>
      <c r="W3" s="177"/>
      <c r="X3" s="177"/>
      <c r="Y3" s="177"/>
      <c r="Z3" s="177"/>
    </row>
    <row r="4" spans="1:28" ht="21" customHeight="1">
      <c r="A4" s="399" t="str">
        <f>PL15!A3</f>
        <v>(Kèm theo Nghị quyết số       /NQ-HĐND ngày       tháng 12 năm 2022 của HĐND huyện Tuần Giáo)</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73"/>
      <c r="AB4" s="73"/>
    </row>
    <row r="5" spans="1:26" ht="18" customHeight="1" hidden="1">
      <c r="A5" s="172"/>
      <c r="B5" s="178"/>
      <c r="C5" s="171"/>
      <c r="D5" s="171"/>
      <c r="E5" s="171"/>
      <c r="F5" s="171"/>
      <c r="G5" s="171"/>
      <c r="H5" s="171"/>
      <c r="I5" s="171"/>
      <c r="J5" s="171"/>
      <c r="K5" s="171"/>
      <c r="L5" s="171"/>
      <c r="M5" s="171"/>
      <c r="N5" s="171"/>
      <c r="O5" s="171"/>
      <c r="P5" s="171"/>
      <c r="Q5" s="171"/>
      <c r="R5" s="171"/>
      <c r="S5" s="171"/>
      <c r="T5" s="171"/>
      <c r="U5" s="171"/>
      <c r="V5" s="171"/>
      <c r="W5" s="171"/>
      <c r="X5" s="171"/>
      <c r="Y5" s="171"/>
      <c r="Z5" s="171"/>
    </row>
    <row r="6" spans="1:26" ht="14.25" customHeight="1" hidden="1">
      <c r="A6" s="179"/>
      <c r="B6" s="178"/>
      <c r="C6" s="171"/>
      <c r="D6" s="171"/>
      <c r="E6" s="171"/>
      <c r="F6" s="171"/>
      <c r="G6" s="171"/>
      <c r="H6" s="171"/>
      <c r="I6" s="171"/>
      <c r="J6" s="171"/>
      <c r="K6" s="171"/>
      <c r="L6" s="171"/>
      <c r="M6" s="171"/>
      <c r="N6" s="171"/>
      <c r="O6" s="171"/>
      <c r="P6" s="171"/>
      <c r="Q6" s="171"/>
      <c r="R6" s="171"/>
      <c r="S6" s="171"/>
      <c r="T6" s="171"/>
      <c r="U6" s="171"/>
      <c r="V6" s="171"/>
      <c r="W6" s="171"/>
      <c r="X6" s="171"/>
      <c r="Y6" s="171"/>
      <c r="Z6" s="171"/>
    </row>
    <row r="7" spans="1:26" ht="18.75" customHeight="1">
      <c r="A7" s="180"/>
      <c r="B7" s="181"/>
      <c r="C7" s="182"/>
      <c r="D7" s="182"/>
      <c r="E7" s="182"/>
      <c r="F7" s="182"/>
      <c r="G7" s="182"/>
      <c r="H7" s="182"/>
      <c r="I7" s="182"/>
      <c r="J7" s="183"/>
      <c r="K7" s="400"/>
      <c r="L7" s="400"/>
      <c r="M7" s="182"/>
      <c r="N7" s="182"/>
      <c r="O7" s="182"/>
      <c r="P7" s="182"/>
      <c r="Q7" s="183"/>
      <c r="R7" s="400"/>
      <c r="S7" s="400"/>
      <c r="T7" s="402" t="s">
        <v>92</v>
      </c>
      <c r="U7" s="402"/>
      <c r="V7" s="402"/>
      <c r="W7" s="402"/>
      <c r="X7" s="402"/>
      <c r="Y7" s="402"/>
      <c r="Z7" s="402"/>
    </row>
    <row r="8" spans="1:26" s="72" customFormat="1" ht="42.75" customHeight="1">
      <c r="A8" s="398" t="s">
        <v>62</v>
      </c>
      <c r="B8" s="398" t="s">
        <v>160</v>
      </c>
      <c r="C8" s="398" t="s">
        <v>81</v>
      </c>
      <c r="D8" s="398" t="s">
        <v>33</v>
      </c>
      <c r="E8" s="398"/>
      <c r="F8" s="398" t="s">
        <v>336</v>
      </c>
      <c r="G8" s="398"/>
      <c r="H8" s="398"/>
      <c r="I8" s="398"/>
      <c r="J8" s="398"/>
      <c r="K8" s="398"/>
      <c r="L8" s="398"/>
      <c r="M8" s="398" t="s">
        <v>158</v>
      </c>
      <c r="N8" s="398"/>
      <c r="O8" s="398"/>
      <c r="P8" s="398"/>
      <c r="Q8" s="398"/>
      <c r="R8" s="398"/>
      <c r="S8" s="398"/>
      <c r="T8" s="398" t="s">
        <v>159</v>
      </c>
      <c r="U8" s="398"/>
      <c r="V8" s="398"/>
      <c r="W8" s="398"/>
      <c r="X8" s="398"/>
      <c r="Y8" s="398"/>
      <c r="Z8" s="398"/>
    </row>
    <row r="9" spans="1:26" s="72" customFormat="1" ht="20.25" customHeight="1">
      <c r="A9" s="398"/>
      <c r="B9" s="398"/>
      <c r="C9" s="398"/>
      <c r="D9" s="397" t="s">
        <v>139</v>
      </c>
      <c r="E9" s="397" t="s">
        <v>140</v>
      </c>
      <c r="F9" s="397" t="s">
        <v>55</v>
      </c>
      <c r="G9" s="397" t="s">
        <v>139</v>
      </c>
      <c r="H9" s="397"/>
      <c r="I9" s="397"/>
      <c r="J9" s="397" t="s">
        <v>140</v>
      </c>
      <c r="K9" s="397"/>
      <c r="L9" s="397"/>
      <c r="M9" s="397" t="s">
        <v>55</v>
      </c>
      <c r="N9" s="397" t="s">
        <v>139</v>
      </c>
      <c r="O9" s="397"/>
      <c r="P9" s="397"/>
      <c r="Q9" s="397" t="s">
        <v>140</v>
      </c>
      <c r="R9" s="397"/>
      <c r="S9" s="397"/>
      <c r="T9" s="397" t="s">
        <v>55</v>
      </c>
      <c r="U9" s="397" t="s">
        <v>139</v>
      </c>
      <c r="V9" s="397"/>
      <c r="W9" s="397"/>
      <c r="X9" s="397" t="s">
        <v>140</v>
      </c>
      <c r="Y9" s="397"/>
      <c r="Z9" s="397"/>
    </row>
    <row r="10" spans="1:26" s="72" customFormat="1" ht="20.25" customHeight="1">
      <c r="A10" s="398"/>
      <c r="B10" s="398"/>
      <c r="C10" s="398"/>
      <c r="D10" s="397"/>
      <c r="E10" s="397"/>
      <c r="F10" s="397"/>
      <c r="G10" s="397" t="s">
        <v>81</v>
      </c>
      <c r="H10" s="397" t="s">
        <v>71</v>
      </c>
      <c r="I10" s="397" t="s">
        <v>72</v>
      </c>
      <c r="J10" s="397" t="s">
        <v>81</v>
      </c>
      <c r="K10" s="397" t="s">
        <v>71</v>
      </c>
      <c r="L10" s="397" t="s">
        <v>72</v>
      </c>
      <c r="M10" s="397"/>
      <c r="N10" s="397" t="s">
        <v>81</v>
      </c>
      <c r="O10" s="397" t="s">
        <v>71</v>
      </c>
      <c r="P10" s="397" t="s">
        <v>72</v>
      </c>
      <c r="Q10" s="397" t="s">
        <v>81</v>
      </c>
      <c r="R10" s="397" t="s">
        <v>71</v>
      </c>
      <c r="S10" s="397" t="s">
        <v>72</v>
      </c>
      <c r="T10" s="397"/>
      <c r="U10" s="397" t="s">
        <v>81</v>
      </c>
      <c r="V10" s="397" t="s">
        <v>71</v>
      </c>
      <c r="W10" s="397" t="s">
        <v>72</v>
      </c>
      <c r="X10" s="397" t="s">
        <v>81</v>
      </c>
      <c r="Y10" s="397" t="s">
        <v>71</v>
      </c>
      <c r="Z10" s="397" t="s">
        <v>72</v>
      </c>
    </row>
    <row r="11" spans="1:26" s="72" customFormat="1" ht="20.25" customHeight="1">
      <c r="A11" s="398"/>
      <c r="B11" s="398"/>
      <c r="C11" s="398"/>
      <c r="D11" s="397"/>
      <c r="E11" s="397"/>
      <c r="F11" s="397"/>
      <c r="G11" s="397"/>
      <c r="H11" s="397"/>
      <c r="I11" s="397"/>
      <c r="J11" s="397"/>
      <c r="K11" s="397"/>
      <c r="L11" s="397"/>
      <c r="M11" s="397"/>
      <c r="N11" s="397"/>
      <c r="O11" s="397"/>
      <c r="P11" s="397"/>
      <c r="Q11" s="397"/>
      <c r="R11" s="397"/>
      <c r="S11" s="397"/>
      <c r="T11" s="397"/>
      <c r="U11" s="397"/>
      <c r="V11" s="397"/>
      <c r="W11" s="397"/>
      <c r="X11" s="397"/>
      <c r="Y11" s="397"/>
      <c r="Z11" s="397"/>
    </row>
    <row r="12" spans="1:26" s="72" customFormat="1" ht="20.25" customHeight="1">
      <c r="A12" s="398"/>
      <c r="B12" s="398"/>
      <c r="C12" s="398"/>
      <c r="D12" s="397"/>
      <c r="E12" s="397"/>
      <c r="F12" s="397"/>
      <c r="G12" s="397"/>
      <c r="H12" s="397"/>
      <c r="I12" s="397"/>
      <c r="J12" s="397"/>
      <c r="K12" s="397"/>
      <c r="L12" s="397"/>
      <c r="M12" s="397"/>
      <c r="N12" s="397"/>
      <c r="O12" s="397"/>
      <c r="P12" s="397"/>
      <c r="Q12" s="397"/>
      <c r="R12" s="397"/>
      <c r="S12" s="397"/>
      <c r="T12" s="397"/>
      <c r="U12" s="397"/>
      <c r="V12" s="397"/>
      <c r="W12" s="397"/>
      <c r="X12" s="397"/>
      <c r="Y12" s="397"/>
      <c r="Z12" s="397"/>
    </row>
    <row r="13" spans="1:26" s="78" customFormat="1" ht="17.25" customHeight="1">
      <c r="A13" s="75" t="s">
        <v>10</v>
      </c>
      <c r="B13" s="76" t="s">
        <v>11</v>
      </c>
      <c r="C13" s="75" t="s">
        <v>50</v>
      </c>
      <c r="D13" s="75" t="s">
        <v>82</v>
      </c>
      <c r="E13" s="75" t="s">
        <v>83</v>
      </c>
      <c r="F13" s="75" t="s">
        <v>84</v>
      </c>
      <c r="G13" s="75" t="s">
        <v>85</v>
      </c>
      <c r="H13" s="75">
        <v>6</v>
      </c>
      <c r="I13" s="75">
        <f>H13+1</f>
        <v>7</v>
      </c>
      <c r="J13" s="75" t="s">
        <v>73</v>
      </c>
      <c r="K13" s="75">
        <v>9</v>
      </c>
      <c r="L13" s="75">
        <f>K13+1</f>
        <v>10</v>
      </c>
      <c r="M13" s="75" t="s">
        <v>84</v>
      </c>
      <c r="N13" s="75" t="s">
        <v>85</v>
      </c>
      <c r="O13" s="75">
        <v>6</v>
      </c>
      <c r="P13" s="75">
        <f>O13+1</f>
        <v>7</v>
      </c>
      <c r="Q13" s="75" t="s">
        <v>73</v>
      </c>
      <c r="R13" s="75">
        <v>9</v>
      </c>
      <c r="S13" s="75">
        <f>R13+1</f>
        <v>10</v>
      </c>
      <c r="T13" s="77" t="s">
        <v>86</v>
      </c>
      <c r="U13" s="77" t="s">
        <v>87</v>
      </c>
      <c r="V13" s="75">
        <v>13</v>
      </c>
      <c r="W13" s="75">
        <f>V13+1</f>
        <v>14</v>
      </c>
      <c r="X13" s="77" t="s">
        <v>88</v>
      </c>
      <c r="Y13" s="75">
        <v>16</v>
      </c>
      <c r="Z13" s="75">
        <f>Y13+1</f>
        <v>17</v>
      </c>
    </row>
    <row r="14" spans="1:28" s="79" customFormat="1" ht="15">
      <c r="A14" s="184"/>
      <c r="B14" s="185" t="s">
        <v>31</v>
      </c>
      <c r="C14" s="186">
        <f>C15+C25</f>
        <v>210875</v>
      </c>
      <c r="D14" s="186">
        <f aca="true" t="shared" si="0" ref="D14:Z14">D15+D25</f>
        <v>83500</v>
      </c>
      <c r="E14" s="186">
        <f t="shared" si="0"/>
        <v>127375</v>
      </c>
      <c r="F14" s="186">
        <f t="shared" si="0"/>
        <v>161997</v>
      </c>
      <c r="G14" s="186">
        <f t="shared" si="0"/>
        <v>83500</v>
      </c>
      <c r="H14" s="186">
        <f t="shared" si="0"/>
        <v>83500</v>
      </c>
      <c r="I14" s="186">
        <f t="shared" si="0"/>
        <v>0</v>
      </c>
      <c r="J14" s="186">
        <f t="shared" si="0"/>
        <v>78497</v>
      </c>
      <c r="K14" s="186">
        <f t="shared" si="0"/>
        <v>78497</v>
      </c>
      <c r="L14" s="186">
        <f t="shared" si="0"/>
        <v>0</v>
      </c>
      <c r="M14" s="186">
        <f t="shared" si="0"/>
        <v>48468</v>
      </c>
      <c r="N14" s="186">
        <f t="shared" si="0"/>
        <v>0</v>
      </c>
      <c r="O14" s="186">
        <f t="shared" si="0"/>
        <v>0</v>
      </c>
      <c r="P14" s="186">
        <f t="shared" si="0"/>
        <v>0</v>
      </c>
      <c r="Q14" s="186">
        <f t="shared" si="0"/>
        <v>48468</v>
      </c>
      <c r="R14" s="186">
        <f t="shared" si="0"/>
        <v>48468</v>
      </c>
      <c r="S14" s="186">
        <f t="shared" si="0"/>
        <v>0</v>
      </c>
      <c r="T14" s="186">
        <f t="shared" si="0"/>
        <v>410</v>
      </c>
      <c r="U14" s="186">
        <f t="shared" si="0"/>
        <v>0</v>
      </c>
      <c r="V14" s="186">
        <f t="shared" si="0"/>
        <v>0</v>
      </c>
      <c r="W14" s="186">
        <f t="shared" si="0"/>
        <v>0</v>
      </c>
      <c r="X14" s="186">
        <f t="shared" si="0"/>
        <v>410</v>
      </c>
      <c r="Y14" s="186">
        <f t="shared" si="0"/>
        <v>410</v>
      </c>
      <c r="Z14" s="186">
        <f t="shared" si="0"/>
        <v>0</v>
      </c>
      <c r="AA14" s="79">
        <f>47926+65161</f>
        <v>113087</v>
      </c>
      <c r="AB14" s="79" t="s">
        <v>242</v>
      </c>
    </row>
    <row r="15" spans="1:28" s="79" customFormat="1" ht="15">
      <c r="A15" s="184" t="s">
        <v>21</v>
      </c>
      <c r="B15" s="185" t="s">
        <v>155</v>
      </c>
      <c r="C15" s="186">
        <f>SUM(C16:C24)</f>
        <v>159230</v>
      </c>
      <c r="D15" s="186">
        <f>SUM(D16:D24)</f>
        <v>83500</v>
      </c>
      <c r="E15" s="186">
        <f aca="true" t="shared" si="1" ref="E15:Z15">SUM(E16:E24)</f>
        <v>75730</v>
      </c>
      <c r="F15" s="186">
        <f t="shared" si="1"/>
        <v>126463</v>
      </c>
      <c r="G15" s="186">
        <f t="shared" si="1"/>
        <v>83500</v>
      </c>
      <c r="H15" s="186">
        <f t="shared" si="1"/>
        <v>83500</v>
      </c>
      <c r="I15" s="186">
        <f t="shared" si="1"/>
        <v>0</v>
      </c>
      <c r="J15" s="186">
        <f t="shared" si="1"/>
        <v>42963</v>
      </c>
      <c r="K15" s="186">
        <f t="shared" si="1"/>
        <v>42963</v>
      </c>
      <c r="L15" s="186">
        <f t="shared" si="1"/>
        <v>0</v>
      </c>
      <c r="M15" s="186">
        <f t="shared" si="1"/>
        <v>32537</v>
      </c>
      <c r="N15" s="186">
        <f t="shared" si="1"/>
        <v>0</v>
      </c>
      <c r="O15" s="186">
        <f t="shared" si="1"/>
        <v>0</v>
      </c>
      <c r="P15" s="186">
        <f t="shared" si="1"/>
        <v>0</v>
      </c>
      <c r="Q15" s="186">
        <f t="shared" si="1"/>
        <v>32537</v>
      </c>
      <c r="R15" s="186">
        <f t="shared" si="1"/>
        <v>32537</v>
      </c>
      <c r="S15" s="186">
        <f t="shared" si="1"/>
        <v>0</v>
      </c>
      <c r="T15" s="186">
        <f t="shared" si="1"/>
        <v>230</v>
      </c>
      <c r="U15" s="186">
        <f t="shared" si="1"/>
        <v>0</v>
      </c>
      <c r="V15" s="186">
        <f t="shared" si="1"/>
        <v>0</v>
      </c>
      <c r="W15" s="186">
        <f t="shared" si="1"/>
        <v>0</v>
      </c>
      <c r="X15" s="186">
        <f t="shared" si="1"/>
        <v>230</v>
      </c>
      <c r="Y15" s="186">
        <f t="shared" si="1"/>
        <v>230</v>
      </c>
      <c r="Z15" s="186">
        <f t="shared" si="1"/>
        <v>0</v>
      </c>
      <c r="AA15" s="79">
        <f>15230+10671</f>
        <v>25901</v>
      </c>
      <c r="AB15" s="79" t="s">
        <v>243</v>
      </c>
    </row>
    <row r="16" spans="1:26" s="98" customFormat="1" ht="15">
      <c r="A16" s="31">
        <v>1</v>
      </c>
      <c r="B16" s="187" t="s">
        <v>377</v>
      </c>
      <c r="C16" s="188">
        <f aca="true" t="shared" si="2" ref="C16:C23">D16+E16</f>
        <v>3846</v>
      </c>
      <c r="D16" s="188">
        <f>+G16+N16+U16</f>
        <v>0</v>
      </c>
      <c r="E16" s="188">
        <f>J16+Q16+X16</f>
        <v>3846</v>
      </c>
      <c r="F16" s="188">
        <f>G16+J16</f>
        <v>3846</v>
      </c>
      <c r="G16" s="188">
        <f aca="true" t="shared" si="3" ref="G16:G24">H16+I16</f>
        <v>0</v>
      </c>
      <c r="H16" s="188"/>
      <c r="I16" s="188"/>
      <c r="J16" s="188">
        <f aca="true" t="shared" si="4" ref="J16:J24">K16+L16</f>
        <v>3846</v>
      </c>
      <c r="K16" s="189">
        <v>3846</v>
      </c>
      <c r="L16" s="188"/>
      <c r="M16" s="188">
        <f>N16+Q16</f>
        <v>0</v>
      </c>
      <c r="N16" s="188">
        <f aca="true" t="shared" si="5" ref="N16:N24">O16+P16</f>
        <v>0</v>
      </c>
      <c r="O16" s="188"/>
      <c r="P16" s="188"/>
      <c r="Q16" s="188">
        <f aca="true" t="shared" si="6" ref="Q16:Q24">R16+S16</f>
        <v>0</v>
      </c>
      <c r="R16" s="189"/>
      <c r="S16" s="188"/>
      <c r="T16" s="188">
        <f>U16+X16</f>
        <v>0</v>
      </c>
      <c r="U16" s="188">
        <f aca="true" t="shared" si="7" ref="U16:U24">V16+W16</f>
        <v>0</v>
      </c>
      <c r="V16" s="188"/>
      <c r="W16" s="188"/>
      <c r="X16" s="188">
        <f aca="true" t="shared" si="8" ref="X16:X24">Y16+Z16</f>
        <v>0</v>
      </c>
      <c r="Y16" s="189"/>
      <c r="Z16" s="188"/>
    </row>
    <row r="17" spans="1:26" s="98" customFormat="1" ht="15">
      <c r="A17" s="31">
        <v>2</v>
      </c>
      <c r="B17" s="187" t="s">
        <v>367</v>
      </c>
      <c r="C17" s="188">
        <f t="shared" si="2"/>
        <v>18546</v>
      </c>
      <c r="D17" s="188">
        <f aca="true" t="shared" si="9" ref="D17:D24">+G17+N17+U17</f>
        <v>0</v>
      </c>
      <c r="E17" s="188">
        <f aca="true" t="shared" si="10" ref="E17:E23">J17+Q17+X17</f>
        <v>18546</v>
      </c>
      <c r="F17" s="188">
        <f aca="true" t="shared" si="11" ref="F17:F24">G17+J17</f>
        <v>18316</v>
      </c>
      <c r="G17" s="188">
        <f t="shared" si="3"/>
        <v>0</v>
      </c>
      <c r="H17" s="188"/>
      <c r="I17" s="188"/>
      <c r="J17" s="188">
        <f t="shared" si="4"/>
        <v>18316</v>
      </c>
      <c r="K17" s="189">
        <v>18316</v>
      </c>
      <c r="L17" s="188"/>
      <c r="M17" s="188">
        <f aca="true" t="shared" si="12" ref="M17:M24">N17+Q17</f>
        <v>0</v>
      </c>
      <c r="N17" s="188">
        <f t="shared" si="5"/>
        <v>0</v>
      </c>
      <c r="O17" s="188"/>
      <c r="P17" s="188"/>
      <c r="Q17" s="188">
        <f t="shared" si="6"/>
        <v>0</v>
      </c>
      <c r="R17" s="189"/>
      <c r="S17" s="188"/>
      <c r="T17" s="188">
        <f aca="true" t="shared" si="13" ref="T17:T24">U17+X17</f>
        <v>230</v>
      </c>
      <c r="U17" s="188">
        <f t="shared" si="7"/>
        <v>0</v>
      </c>
      <c r="V17" s="188"/>
      <c r="W17" s="188"/>
      <c r="X17" s="188">
        <f t="shared" si="8"/>
        <v>230</v>
      </c>
      <c r="Y17" s="189">
        <v>230</v>
      </c>
      <c r="Z17" s="188"/>
    </row>
    <row r="18" spans="1:26" s="98" customFormat="1" ht="15">
      <c r="A18" s="31">
        <v>3</v>
      </c>
      <c r="B18" s="187" t="s">
        <v>170</v>
      </c>
      <c r="C18" s="188">
        <f t="shared" si="2"/>
        <v>14964</v>
      </c>
      <c r="D18" s="188">
        <f t="shared" si="9"/>
        <v>0</v>
      </c>
      <c r="E18" s="188">
        <f t="shared" si="10"/>
        <v>14964</v>
      </c>
      <c r="F18" s="188">
        <f t="shared" si="11"/>
        <v>0</v>
      </c>
      <c r="G18" s="188">
        <f t="shared" si="3"/>
        <v>0</v>
      </c>
      <c r="H18" s="188"/>
      <c r="I18" s="188"/>
      <c r="J18" s="188">
        <f t="shared" si="4"/>
        <v>0</v>
      </c>
      <c r="K18" s="189"/>
      <c r="L18" s="188"/>
      <c r="M18" s="188">
        <f t="shared" si="12"/>
        <v>14964</v>
      </c>
      <c r="N18" s="188">
        <f t="shared" si="5"/>
        <v>0</v>
      </c>
      <c r="O18" s="188"/>
      <c r="P18" s="188"/>
      <c r="Q18" s="188">
        <f t="shared" si="6"/>
        <v>14964</v>
      </c>
      <c r="R18" s="189">
        <v>14964</v>
      </c>
      <c r="S18" s="188"/>
      <c r="T18" s="188">
        <f t="shared" si="13"/>
        <v>0</v>
      </c>
      <c r="U18" s="188">
        <f t="shared" si="7"/>
        <v>0</v>
      </c>
      <c r="V18" s="188"/>
      <c r="W18" s="188"/>
      <c r="X18" s="188">
        <f t="shared" si="8"/>
        <v>0</v>
      </c>
      <c r="Y18" s="189"/>
      <c r="Z18" s="188"/>
    </row>
    <row r="19" spans="1:26" s="98" customFormat="1" ht="15">
      <c r="A19" s="31">
        <v>4</v>
      </c>
      <c r="B19" s="187" t="s">
        <v>171</v>
      </c>
      <c r="C19" s="188">
        <f t="shared" si="2"/>
        <v>1815</v>
      </c>
      <c r="D19" s="188">
        <f t="shared" si="9"/>
        <v>0</v>
      </c>
      <c r="E19" s="188">
        <f t="shared" si="10"/>
        <v>1815</v>
      </c>
      <c r="F19" s="188">
        <f t="shared" si="11"/>
        <v>0</v>
      </c>
      <c r="G19" s="188">
        <f t="shared" si="3"/>
        <v>0</v>
      </c>
      <c r="H19" s="188"/>
      <c r="I19" s="188"/>
      <c r="J19" s="188">
        <f t="shared" si="4"/>
        <v>0</v>
      </c>
      <c r="K19" s="189"/>
      <c r="L19" s="188"/>
      <c r="M19" s="188">
        <f t="shared" si="12"/>
        <v>1815</v>
      </c>
      <c r="N19" s="188">
        <f t="shared" si="5"/>
        <v>0</v>
      </c>
      <c r="O19" s="188"/>
      <c r="P19" s="188"/>
      <c r="Q19" s="188">
        <f t="shared" si="6"/>
        <v>1815</v>
      </c>
      <c r="R19" s="189">
        <v>1815</v>
      </c>
      <c r="S19" s="188"/>
      <c r="T19" s="188">
        <f t="shared" si="13"/>
        <v>0</v>
      </c>
      <c r="U19" s="188">
        <f t="shared" si="7"/>
        <v>0</v>
      </c>
      <c r="V19" s="188"/>
      <c r="W19" s="188"/>
      <c r="X19" s="188">
        <f t="shared" si="8"/>
        <v>0</v>
      </c>
      <c r="Y19" s="189"/>
      <c r="Z19" s="188"/>
    </row>
    <row r="20" spans="1:26" s="98" customFormat="1" ht="30">
      <c r="A20" s="31">
        <v>5</v>
      </c>
      <c r="B20" s="187" t="s">
        <v>370</v>
      </c>
      <c r="C20" s="188">
        <f t="shared" si="2"/>
        <v>4168</v>
      </c>
      <c r="D20" s="188">
        <f t="shared" si="9"/>
        <v>0</v>
      </c>
      <c r="E20" s="188">
        <f t="shared" si="10"/>
        <v>4168</v>
      </c>
      <c r="F20" s="188">
        <f t="shared" si="11"/>
        <v>0</v>
      </c>
      <c r="G20" s="188">
        <f t="shared" si="3"/>
        <v>0</v>
      </c>
      <c r="H20" s="188"/>
      <c r="I20" s="188"/>
      <c r="J20" s="188">
        <f t="shared" si="4"/>
        <v>0</v>
      </c>
      <c r="K20" s="189"/>
      <c r="L20" s="188"/>
      <c r="M20" s="188">
        <f t="shared" si="12"/>
        <v>4168</v>
      </c>
      <c r="N20" s="188">
        <f t="shared" si="5"/>
        <v>0</v>
      </c>
      <c r="O20" s="188"/>
      <c r="P20" s="188"/>
      <c r="Q20" s="188">
        <f t="shared" si="6"/>
        <v>4168</v>
      </c>
      <c r="R20" s="189">
        <v>4168</v>
      </c>
      <c r="S20" s="188"/>
      <c r="T20" s="188">
        <f t="shared" si="13"/>
        <v>0</v>
      </c>
      <c r="U20" s="188">
        <f t="shared" si="7"/>
        <v>0</v>
      </c>
      <c r="V20" s="188"/>
      <c r="W20" s="188"/>
      <c r="X20" s="188">
        <f t="shared" si="8"/>
        <v>0</v>
      </c>
      <c r="Y20" s="189"/>
      <c r="Z20" s="188"/>
    </row>
    <row r="21" spans="1:26" s="98" customFormat="1" ht="15">
      <c r="A21" s="31">
        <v>6</v>
      </c>
      <c r="B21" s="187" t="s">
        <v>174</v>
      </c>
      <c r="C21" s="188">
        <f t="shared" si="2"/>
        <v>5134</v>
      </c>
      <c r="D21" s="188">
        <f t="shared" si="9"/>
        <v>0</v>
      </c>
      <c r="E21" s="188">
        <f t="shared" si="10"/>
        <v>5134</v>
      </c>
      <c r="F21" s="188">
        <f t="shared" si="11"/>
        <v>5134</v>
      </c>
      <c r="G21" s="188">
        <f t="shared" si="3"/>
        <v>0</v>
      </c>
      <c r="H21" s="188"/>
      <c r="I21" s="188"/>
      <c r="J21" s="188">
        <f t="shared" si="4"/>
        <v>5134</v>
      </c>
      <c r="K21" s="189">
        <v>5134</v>
      </c>
      <c r="L21" s="188"/>
      <c r="M21" s="188">
        <f t="shared" si="12"/>
        <v>0</v>
      </c>
      <c r="N21" s="188">
        <f t="shared" si="5"/>
        <v>0</v>
      </c>
      <c r="O21" s="188"/>
      <c r="P21" s="188"/>
      <c r="Q21" s="188">
        <f t="shared" si="6"/>
        <v>0</v>
      </c>
      <c r="R21" s="189"/>
      <c r="S21" s="188"/>
      <c r="T21" s="188">
        <f t="shared" si="13"/>
        <v>0</v>
      </c>
      <c r="U21" s="188">
        <f t="shared" si="7"/>
        <v>0</v>
      </c>
      <c r="V21" s="188"/>
      <c r="W21" s="188"/>
      <c r="X21" s="188">
        <f t="shared" si="8"/>
        <v>0</v>
      </c>
      <c r="Y21" s="189"/>
      <c r="Z21" s="188"/>
    </row>
    <row r="22" spans="1:26" s="98" customFormat="1" ht="15">
      <c r="A22" s="31">
        <v>7</v>
      </c>
      <c r="B22" s="187" t="s">
        <v>371</v>
      </c>
      <c r="C22" s="188">
        <f t="shared" si="2"/>
        <v>4723</v>
      </c>
      <c r="D22" s="188">
        <f t="shared" si="9"/>
        <v>0</v>
      </c>
      <c r="E22" s="188">
        <f t="shared" si="10"/>
        <v>4723</v>
      </c>
      <c r="F22" s="188">
        <f t="shared" si="11"/>
        <v>2993</v>
      </c>
      <c r="G22" s="188">
        <f t="shared" si="3"/>
        <v>0</v>
      </c>
      <c r="H22" s="188"/>
      <c r="I22" s="188"/>
      <c r="J22" s="188">
        <f t="shared" si="4"/>
        <v>2993</v>
      </c>
      <c r="K22" s="189">
        <v>2993</v>
      </c>
      <c r="L22" s="188"/>
      <c r="M22" s="188">
        <f t="shared" si="12"/>
        <v>1730</v>
      </c>
      <c r="N22" s="188">
        <f t="shared" si="5"/>
        <v>0</v>
      </c>
      <c r="O22" s="188"/>
      <c r="P22" s="188"/>
      <c r="Q22" s="188">
        <f t="shared" si="6"/>
        <v>1730</v>
      </c>
      <c r="R22" s="189">
        <v>1730</v>
      </c>
      <c r="S22" s="188"/>
      <c r="T22" s="188">
        <f t="shared" si="13"/>
        <v>0</v>
      </c>
      <c r="U22" s="188">
        <f t="shared" si="7"/>
        <v>0</v>
      </c>
      <c r="V22" s="188"/>
      <c r="W22" s="188"/>
      <c r="X22" s="188">
        <f t="shared" si="8"/>
        <v>0</v>
      </c>
      <c r="Y22" s="189"/>
      <c r="Z22" s="188"/>
    </row>
    <row r="23" spans="1:26" s="98" customFormat="1" ht="15">
      <c r="A23" s="31">
        <v>8</v>
      </c>
      <c r="B23" s="187" t="s">
        <v>234</v>
      </c>
      <c r="C23" s="188">
        <f t="shared" si="2"/>
        <v>16124</v>
      </c>
      <c r="D23" s="188">
        <f t="shared" si="9"/>
        <v>0</v>
      </c>
      <c r="E23" s="188">
        <f t="shared" si="10"/>
        <v>16124</v>
      </c>
      <c r="F23" s="188">
        <f t="shared" si="11"/>
        <v>12674</v>
      </c>
      <c r="G23" s="188">
        <f t="shared" si="3"/>
        <v>0</v>
      </c>
      <c r="H23" s="188"/>
      <c r="I23" s="188"/>
      <c r="J23" s="188">
        <f t="shared" si="4"/>
        <v>12674</v>
      </c>
      <c r="K23" s="189">
        <v>12674</v>
      </c>
      <c r="L23" s="188"/>
      <c r="M23" s="188">
        <f t="shared" si="12"/>
        <v>3450</v>
      </c>
      <c r="N23" s="188">
        <f t="shared" si="5"/>
        <v>0</v>
      </c>
      <c r="O23" s="188"/>
      <c r="P23" s="188"/>
      <c r="Q23" s="188">
        <f t="shared" si="6"/>
        <v>3450</v>
      </c>
      <c r="R23" s="189">
        <v>3450</v>
      </c>
      <c r="S23" s="188"/>
      <c r="T23" s="188">
        <f t="shared" si="13"/>
        <v>0</v>
      </c>
      <c r="U23" s="188">
        <f t="shared" si="7"/>
        <v>0</v>
      </c>
      <c r="V23" s="188"/>
      <c r="W23" s="188"/>
      <c r="X23" s="188">
        <f t="shared" si="8"/>
        <v>0</v>
      </c>
      <c r="Y23" s="189"/>
      <c r="Z23" s="188"/>
    </row>
    <row r="24" spans="1:26" s="98" customFormat="1" ht="30">
      <c r="A24" s="31">
        <v>9</v>
      </c>
      <c r="B24" s="187" t="s">
        <v>375</v>
      </c>
      <c r="C24" s="188">
        <f>D24+E24</f>
        <v>89910</v>
      </c>
      <c r="D24" s="188">
        <f t="shared" si="9"/>
        <v>83500</v>
      </c>
      <c r="E24" s="188">
        <f>J24+Q24+X24</f>
        <v>6410</v>
      </c>
      <c r="F24" s="188">
        <f t="shared" si="11"/>
        <v>83500</v>
      </c>
      <c r="G24" s="188">
        <f t="shared" si="3"/>
        <v>83500</v>
      </c>
      <c r="H24" s="188">
        <v>83500</v>
      </c>
      <c r="I24" s="188"/>
      <c r="J24" s="188">
        <f t="shared" si="4"/>
        <v>0</v>
      </c>
      <c r="K24" s="189"/>
      <c r="L24" s="188"/>
      <c r="M24" s="188">
        <f t="shared" si="12"/>
        <v>6410</v>
      </c>
      <c r="N24" s="188">
        <f t="shared" si="5"/>
        <v>0</v>
      </c>
      <c r="O24" s="188"/>
      <c r="P24" s="188"/>
      <c r="Q24" s="188">
        <f t="shared" si="6"/>
        <v>6410</v>
      </c>
      <c r="R24" s="189">
        <v>6410</v>
      </c>
      <c r="S24" s="188"/>
      <c r="T24" s="188">
        <f t="shared" si="13"/>
        <v>0</v>
      </c>
      <c r="U24" s="188">
        <f t="shared" si="7"/>
        <v>0</v>
      </c>
      <c r="V24" s="188"/>
      <c r="W24" s="188"/>
      <c r="X24" s="188">
        <f t="shared" si="8"/>
        <v>0</v>
      </c>
      <c r="Y24" s="189"/>
      <c r="Z24" s="188"/>
    </row>
    <row r="25" spans="1:26" s="80" customFormat="1" ht="17.25" customHeight="1">
      <c r="A25" s="93" t="s">
        <v>22</v>
      </c>
      <c r="B25" s="190" t="s">
        <v>156</v>
      </c>
      <c r="C25" s="186">
        <f>SUM(C26:C44)</f>
        <v>51645</v>
      </c>
      <c r="D25" s="186">
        <f aca="true" t="shared" si="14" ref="D25:Z25">SUM(D26:D44)</f>
        <v>0</v>
      </c>
      <c r="E25" s="186">
        <f t="shared" si="14"/>
        <v>51645</v>
      </c>
      <c r="F25" s="186">
        <f>SUM(F26:F44)</f>
        <v>35534</v>
      </c>
      <c r="G25" s="186">
        <f aca="true" t="shared" si="15" ref="G25:L25">SUM(G26:G44)</f>
        <v>0</v>
      </c>
      <c r="H25" s="186">
        <f t="shared" si="15"/>
        <v>0</v>
      </c>
      <c r="I25" s="186">
        <f t="shared" si="15"/>
        <v>0</v>
      </c>
      <c r="J25" s="186">
        <f t="shared" si="15"/>
        <v>35534</v>
      </c>
      <c r="K25" s="186">
        <f t="shared" si="15"/>
        <v>35534</v>
      </c>
      <c r="L25" s="186">
        <f t="shared" si="15"/>
        <v>0</v>
      </c>
      <c r="M25" s="186">
        <f t="shared" si="14"/>
        <v>15931</v>
      </c>
      <c r="N25" s="186">
        <f t="shared" si="14"/>
        <v>0</v>
      </c>
      <c r="O25" s="186">
        <f t="shared" si="14"/>
        <v>0</v>
      </c>
      <c r="P25" s="186">
        <f t="shared" si="14"/>
        <v>0</v>
      </c>
      <c r="Q25" s="186">
        <f t="shared" si="14"/>
        <v>15931</v>
      </c>
      <c r="R25" s="186">
        <f t="shared" si="14"/>
        <v>15931</v>
      </c>
      <c r="S25" s="186">
        <f t="shared" si="14"/>
        <v>0</v>
      </c>
      <c r="T25" s="186">
        <f t="shared" si="14"/>
        <v>180</v>
      </c>
      <c r="U25" s="186">
        <f t="shared" si="14"/>
        <v>0</v>
      </c>
      <c r="V25" s="186">
        <f t="shared" si="14"/>
        <v>0</v>
      </c>
      <c r="W25" s="186">
        <f t="shared" si="14"/>
        <v>0</v>
      </c>
      <c r="X25" s="186">
        <f t="shared" si="14"/>
        <v>180</v>
      </c>
      <c r="Y25" s="186">
        <f t="shared" si="14"/>
        <v>180</v>
      </c>
      <c r="Z25" s="186">
        <f t="shared" si="14"/>
        <v>0</v>
      </c>
    </row>
    <row r="26" spans="1:26" s="80" customFormat="1" ht="17.25" customHeight="1">
      <c r="A26" s="191">
        <v>1</v>
      </c>
      <c r="B26" s="192" t="s">
        <v>313</v>
      </c>
      <c r="C26" s="188">
        <f aca="true" t="shared" si="16" ref="C26:C44">D26+E26</f>
        <v>2784</v>
      </c>
      <c r="D26" s="188">
        <f>I26+P26+W26</f>
        <v>0</v>
      </c>
      <c r="E26" s="188">
        <f>J26+Q26+X26</f>
        <v>2784</v>
      </c>
      <c r="F26" s="188">
        <f>G26+J26</f>
        <v>1786</v>
      </c>
      <c r="G26" s="188">
        <f aca="true" t="shared" si="17" ref="G26:G44">H26+I26</f>
        <v>0</v>
      </c>
      <c r="H26" s="188"/>
      <c r="I26" s="188"/>
      <c r="J26" s="188">
        <f aca="true" t="shared" si="18" ref="J26:J44">K26+L26</f>
        <v>1786</v>
      </c>
      <c r="K26" s="189">
        <v>1786</v>
      </c>
      <c r="L26" s="188"/>
      <c r="M26" s="188">
        <f>N26+Q26</f>
        <v>988</v>
      </c>
      <c r="N26" s="188">
        <f aca="true" t="shared" si="19" ref="N26:N44">O26+P26</f>
        <v>0</v>
      </c>
      <c r="O26" s="188"/>
      <c r="P26" s="188"/>
      <c r="Q26" s="188">
        <f aca="true" t="shared" si="20" ref="Q26:Q44">R26+S26</f>
        <v>988</v>
      </c>
      <c r="R26" s="189">
        <v>988</v>
      </c>
      <c r="S26" s="188"/>
      <c r="T26" s="188">
        <f>U26+X26</f>
        <v>10</v>
      </c>
      <c r="U26" s="188">
        <f aca="true" t="shared" si="21" ref="U26:U44">V26+W26</f>
        <v>0</v>
      </c>
      <c r="V26" s="188"/>
      <c r="W26" s="188"/>
      <c r="X26" s="188">
        <f aca="true" t="shared" si="22" ref="X26:X44">Y26+Z26</f>
        <v>10</v>
      </c>
      <c r="Y26" s="189">
        <v>10</v>
      </c>
      <c r="Z26" s="188"/>
    </row>
    <row r="27" spans="1:26" s="80" customFormat="1" ht="17.25" customHeight="1">
      <c r="A27" s="191">
        <v>2</v>
      </c>
      <c r="B27" s="192" t="s">
        <v>314</v>
      </c>
      <c r="C27" s="188">
        <f t="shared" si="16"/>
        <v>2816</v>
      </c>
      <c r="D27" s="188">
        <f aca="true" t="shared" si="23" ref="D27:D44">I27+P27+W27</f>
        <v>0</v>
      </c>
      <c r="E27" s="188">
        <f aca="true" t="shared" si="24" ref="E27:E44">J27+Q27+X27</f>
        <v>2816</v>
      </c>
      <c r="F27" s="188">
        <f aca="true" t="shared" si="25" ref="F27:F44">G27+J27</f>
        <v>1968</v>
      </c>
      <c r="G27" s="188">
        <f t="shared" si="17"/>
        <v>0</v>
      </c>
      <c r="H27" s="188"/>
      <c r="I27" s="188"/>
      <c r="J27" s="188">
        <f t="shared" si="18"/>
        <v>1968</v>
      </c>
      <c r="K27" s="189">
        <v>1968</v>
      </c>
      <c r="L27" s="188"/>
      <c r="M27" s="188">
        <f aca="true" t="shared" si="26" ref="M27:M44">N27+Q27</f>
        <v>838</v>
      </c>
      <c r="N27" s="188">
        <f t="shared" si="19"/>
        <v>0</v>
      </c>
      <c r="O27" s="188"/>
      <c r="P27" s="188"/>
      <c r="Q27" s="188">
        <f t="shared" si="20"/>
        <v>838</v>
      </c>
      <c r="R27" s="189">
        <v>838</v>
      </c>
      <c r="S27" s="188"/>
      <c r="T27" s="188">
        <f aca="true" t="shared" si="27" ref="T27:T44">U27+X27</f>
        <v>10</v>
      </c>
      <c r="U27" s="188">
        <f t="shared" si="21"/>
        <v>0</v>
      </c>
      <c r="V27" s="188"/>
      <c r="W27" s="188"/>
      <c r="X27" s="188">
        <f t="shared" si="22"/>
        <v>10</v>
      </c>
      <c r="Y27" s="189">
        <v>10</v>
      </c>
      <c r="Z27" s="188"/>
    </row>
    <row r="28" spans="1:26" s="79" customFormat="1" ht="17.25" customHeight="1">
      <c r="A28" s="75">
        <v>3</v>
      </c>
      <c r="B28" s="192" t="s">
        <v>315</v>
      </c>
      <c r="C28" s="188">
        <f t="shared" si="16"/>
        <v>2824</v>
      </c>
      <c r="D28" s="188">
        <f t="shared" si="23"/>
        <v>0</v>
      </c>
      <c r="E28" s="188">
        <f t="shared" si="24"/>
        <v>2824</v>
      </c>
      <c r="F28" s="188">
        <f t="shared" si="25"/>
        <v>1907</v>
      </c>
      <c r="G28" s="188">
        <f t="shared" si="17"/>
        <v>0</v>
      </c>
      <c r="H28" s="188"/>
      <c r="I28" s="188"/>
      <c r="J28" s="188">
        <f t="shared" si="18"/>
        <v>1907</v>
      </c>
      <c r="K28" s="189">
        <v>1907</v>
      </c>
      <c r="L28" s="188"/>
      <c r="M28" s="188">
        <f t="shared" si="26"/>
        <v>907</v>
      </c>
      <c r="N28" s="188">
        <f t="shared" si="19"/>
        <v>0</v>
      </c>
      <c r="O28" s="188"/>
      <c r="P28" s="188"/>
      <c r="Q28" s="188">
        <f t="shared" si="20"/>
        <v>907</v>
      </c>
      <c r="R28" s="189">
        <v>907</v>
      </c>
      <c r="S28" s="188"/>
      <c r="T28" s="188">
        <f t="shared" si="27"/>
        <v>10</v>
      </c>
      <c r="U28" s="188">
        <f t="shared" si="21"/>
        <v>0</v>
      </c>
      <c r="V28" s="188"/>
      <c r="W28" s="188"/>
      <c r="X28" s="188">
        <f t="shared" si="22"/>
        <v>10</v>
      </c>
      <c r="Y28" s="189">
        <v>10</v>
      </c>
      <c r="Z28" s="188"/>
    </row>
    <row r="29" spans="1:26" s="79" customFormat="1" ht="17.25" customHeight="1">
      <c r="A29" s="75">
        <v>4</v>
      </c>
      <c r="B29" s="192" t="s">
        <v>316</v>
      </c>
      <c r="C29" s="188">
        <f t="shared" si="16"/>
        <v>2850</v>
      </c>
      <c r="D29" s="188">
        <f t="shared" si="23"/>
        <v>0</v>
      </c>
      <c r="E29" s="188">
        <f t="shared" si="24"/>
        <v>2850</v>
      </c>
      <c r="F29" s="188">
        <f t="shared" si="25"/>
        <v>1852</v>
      </c>
      <c r="G29" s="188">
        <f t="shared" si="17"/>
        <v>0</v>
      </c>
      <c r="H29" s="188"/>
      <c r="I29" s="188"/>
      <c r="J29" s="188">
        <f t="shared" si="18"/>
        <v>1852</v>
      </c>
      <c r="K29" s="189">
        <v>1852</v>
      </c>
      <c r="L29" s="188"/>
      <c r="M29" s="188">
        <f t="shared" si="26"/>
        <v>988</v>
      </c>
      <c r="N29" s="188">
        <f t="shared" si="19"/>
        <v>0</v>
      </c>
      <c r="O29" s="188"/>
      <c r="P29" s="188"/>
      <c r="Q29" s="188">
        <f t="shared" si="20"/>
        <v>988</v>
      </c>
      <c r="R29" s="189">
        <v>988</v>
      </c>
      <c r="S29" s="188"/>
      <c r="T29" s="188">
        <f t="shared" si="27"/>
        <v>10</v>
      </c>
      <c r="U29" s="188">
        <f t="shared" si="21"/>
        <v>0</v>
      </c>
      <c r="V29" s="188"/>
      <c r="W29" s="188"/>
      <c r="X29" s="188">
        <f t="shared" si="22"/>
        <v>10</v>
      </c>
      <c r="Y29" s="189">
        <v>10</v>
      </c>
      <c r="Z29" s="188"/>
    </row>
    <row r="30" spans="1:26" s="79" customFormat="1" ht="17.25" customHeight="1">
      <c r="A30" s="75">
        <v>5</v>
      </c>
      <c r="B30" s="192" t="s">
        <v>317</v>
      </c>
      <c r="C30" s="188">
        <f t="shared" si="16"/>
        <v>2916</v>
      </c>
      <c r="D30" s="188">
        <f t="shared" si="23"/>
        <v>0</v>
      </c>
      <c r="E30" s="188">
        <f t="shared" si="24"/>
        <v>2916</v>
      </c>
      <c r="F30" s="188">
        <f t="shared" si="25"/>
        <v>1999</v>
      </c>
      <c r="G30" s="188">
        <f t="shared" si="17"/>
        <v>0</v>
      </c>
      <c r="H30" s="188"/>
      <c r="I30" s="188"/>
      <c r="J30" s="188">
        <f t="shared" si="18"/>
        <v>1999</v>
      </c>
      <c r="K30" s="189">
        <v>1999</v>
      </c>
      <c r="L30" s="188"/>
      <c r="M30" s="188">
        <f t="shared" si="26"/>
        <v>907</v>
      </c>
      <c r="N30" s="188">
        <f t="shared" si="19"/>
        <v>0</v>
      </c>
      <c r="O30" s="188"/>
      <c r="P30" s="188"/>
      <c r="Q30" s="188">
        <f t="shared" si="20"/>
        <v>907</v>
      </c>
      <c r="R30" s="189">
        <v>907</v>
      </c>
      <c r="S30" s="188"/>
      <c r="T30" s="188">
        <f t="shared" si="27"/>
        <v>10</v>
      </c>
      <c r="U30" s="188">
        <f t="shared" si="21"/>
        <v>0</v>
      </c>
      <c r="V30" s="188"/>
      <c r="W30" s="188"/>
      <c r="X30" s="188">
        <f t="shared" si="22"/>
        <v>10</v>
      </c>
      <c r="Y30" s="189">
        <v>10</v>
      </c>
      <c r="Z30" s="188"/>
    </row>
    <row r="31" spans="1:26" s="79" customFormat="1" ht="17.25" customHeight="1">
      <c r="A31" s="75">
        <v>6</v>
      </c>
      <c r="B31" s="192" t="s">
        <v>222</v>
      </c>
      <c r="C31" s="188">
        <f t="shared" si="16"/>
        <v>0</v>
      </c>
      <c r="D31" s="188">
        <f t="shared" si="23"/>
        <v>0</v>
      </c>
      <c r="E31" s="188">
        <f t="shared" si="24"/>
        <v>0</v>
      </c>
      <c r="F31" s="188">
        <f t="shared" si="25"/>
        <v>0</v>
      </c>
      <c r="G31" s="188">
        <f t="shared" si="17"/>
        <v>0</v>
      </c>
      <c r="H31" s="188"/>
      <c r="I31" s="188"/>
      <c r="J31" s="188">
        <f t="shared" si="18"/>
        <v>0</v>
      </c>
      <c r="K31" s="189">
        <v>0</v>
      </c>
      <c r="L31" s="188"/>
      <c r="M31" s="188">
        <f t="shared" si="26"/>
        <v>0</v>
      </c>
      <c r="N31" s="188">
        <f t="shared" si="19"/>
        <v>0</v>
      </c>
      <c r="O31" s="188"/>
      <c r="P31" s="188"/>
      <c r="Q31" s="188">
        <f t="shared" si="20"/>
        <v>0</v>
      </c>
      <c r="R31" s="189"/>
      <c r="S31" s="188"/>
      <c r="T31" s="188">
        <f t="shared" si="27"/>
        <v>0</v>
      </c>
      <c r="U31" s="188">
        <f t="shared" si="21"/>
        <v>0</v>
      </c>
      <c r="V31" s="188"/>
      <c r="W31" s="188"/>
      <c r="X31" s="188">
        <f t="shared" si="22"/>
        <v>0</v>
      </c>
      <c r="Y31" s="189">
        <v>0</v>
      </c>
      <c r="Z31" s="188"/>
    </row>
    <row r="32" spans="1:26" s="79" customFormat="1" ht="17.25" customHeight="1">
      <c r="A32" s="75">
        <v>7</v>
      </c>
      <c r="B32" s="192" t="s">
        <v>318</v>
      </c>
      <c r="C32" s="188">
        <f t="shared" si="16"/>
        <v>2854</v>
      </c>
      <c r="D32" s="188">
        <f t="shared" si="23"/>
        <v>0</v>
      </c>
      <c r="E32" s="188">
        <f t="shared" si="24"/>
        <v>2854</v>
      </c>
      <c r="F32" s="188">
        <f t="shared" si="25"/>
        <v>1965</v>
      </c>
      <c r="G32" s="188">
        <f t="shared" si="17"/>
        <v>0</v>
      </c>
      <c r="H32" s="188"/>
      <c r="I32" s="188"/>
      <c r="J32" s="188">
        <f t="shared" si="18"/>
        <v>1965</v>
      </c>
      <c r="K32" s="189">
        <v>1965</v>
      </c>
      <c r="L32" s="188"/>
      <c r="M32" s="188">
        <f t="shared" si="26"/>
        <v>879</v>
      </c>
      <c r="N32" s="188">
        <f t="shared" si="19"/>
        <v>0</v>
      </c>
      <c r="O32" s="188"/>
      <c r="P32" s="188"/>
      <c r="Q32" s="188">
        <f t="shared" si="20"/>
        <v>879</v>
      </c>
      <c r="R32" s="189">
        <v>879</v>
      </c>
      <c r="S32" s="188"/>
      <c r="T32" s="188">
        <f t="shared" si="27"/>
        <v>10</v>
      </c>
      <c r="U32" s="188">
        <f t="shared" si="21"/>
        <v>0</v>
      </c>
      <c r="V32" s="188"/>
      <c r="W32" s="188"/>
      <c r="X32" s="188">
        <f t="shared" si="22"/>
        <v>10</v>
      </c>
      <c r="Y32" s="189">
        <v>10</v>
      </c>
      <c r="Z32" s="188"/>
    </row>
    <row r="33" spans="1:26" s="79" customFormat="1" ht="17.25" customHeight="1">
      <c r="A33" s="75">
        <v>8</v>
      </c>
      <c r="B33" s="192" t="s">
        <v>319</v>
      </c>
      <c r="C33" s="188">
        <f t="shared" si="16"/>
        <v>2999</v>
      </c>
      <c r="D33" s="188">
        <f t="shared" si="23"/>
        <v>0</v>
      </c>
      <c r="E33" s="188">
        <f t="shared" si="24"/>
        <v>2999</v>
      </c>
      <c r="F33" s="188">
        <f t="shared" si="25"/>
        <v>2014</v>
      </c>
      <c r="G33" s="188">
        <f t="shared" si="17"/>
        <v>0</v>
      </c>
      <c r="H33" s="188"/>
      <c r="I33" s="188"/>
      <c r="J33" s="188">
        <f t="shared" si="18"/>
        <v>2014</v>
      </c>
      <c r="K33" s="189">
        <v>2014</v>
      </c>
      <c r="L33" s="188"/>
      <c r="M33" s="188">
        <f t="shared" si="26"/>
        <v>975</v>
      </c>
      <c r="N33" s="188">
        <f t="shared" si="19"/>
        <v>0</v>
      </c>
      <c r="O33" s="188"/>
      <c r="P33" s="188"/>
      <c r="Q33" s="188">
        <f t="shared" si="20"/>
        <v>975</v>
      </c>
      <c r="R33" s="189">
        <v>975</v>
      </c>
      <c r="S33" s="188"/>
      <c r="T33" s="188">
        <f t="shared" si="27"/>
        <v>10</v>
      </c>
      <c r="U33" s="188">
        <f t="shared" si="21"/>
        <v>0</v>
      </c>
      <c r="V33" s="188"/>
      <c r="W33" s="188"/>
      <c r="X33" s="188">
        <f t="shared" si="22"/>
        <v>10</v>
      </c>
      <c r="Y33" s="189">
        <v>10</v>
      </c>
      <c r="Z33" s="188"/>
    </row>
    <row r="34" spans="1:26" s="79" customFormat="1" ht="17.25" customHeight="1">
      <c r="A34" s="75">
        <v>9</v>
      </c>
      <c r="B34" s="192" t="s">
        <v>320</v>
      </c>
      <c r="C34" s="188">
        <f t="shared" si="16"/>
        <v>2897</v>
      </c>
      <c r="D34" s="188">
        <f t="shared" si="23"/>
        <v>0</v>
      </c>
      <c r="E34" s="188">
        <f t="shared" si="24"/>
        <v>2897</v>
      </c>
      <c r="F34" s="188">
        <f t="shared" si="25"/>
        <v>1939</v>
      </c>
      <c r="G34" s="188">
        <f t="shared" si="17"/>
        <v>0</v>
      </c>
      <c r="H34" s="188"/>
      <c r="I34" s="188"/>
      <c r="J34" s="188">
        <f t="shared" si="18"/>
        <v>1939</v>
      </c>
      <c r="K34" s="189">
        <v>1939</v>
      </c>
      <c r="L34" s="188"/>
      <c r="M34" s="188">
        <f t="shared" si="26"/>
        <v>948</v>
      </c>
      <c r="N34" s="188">
        <f t="shared" si="19"/>
        <v>0</v>
      </c>
      <c r="O34" s="188"/>
      <c r="P34" s="188"/>
      <c r="Q34" s="188">
        <f t="shared" si="20"/>
        <v>948</v>
      </c>
      <c r="R34" s="189">
        <v>948</v>
      </c>
      <c r="S34" s="188"/>
      <c r="T34" s="188">
        <f t="shared" si="27"/>
        <v>10</v>
      </c>
      <c r="U34" s="188">
        <f t="shared" si="21"/>
        <v>0</v>
      </c>
      <c r="V34" s="188"/>
      <c r="W34" s="188"/>
      <c r="X34" s="188">
        <f t="shared" si="22"/>
        <v>10</v>
      </c>
      <c r="Y34" s="189">
        <v>10</v>
      </c>
      <c r="Z34" s="188"/>
    </row>
    <row r="35" spans="1:26" s="79" customFormat="1" ht="17.25" customHeight="1">
      <c r="A35" s="75">
        <v>10</v>
      </c>
      <c r="B35" s="192" t="s">
        <v>321</v>
      </c>
      <c r="C35" s="188">
        <f t="shared" si="16"/>
        <v>2836</v>
      </c>
      <c r="D35" s="188">
        <f t="shared" si="23"/>
        <v>0</v>
      </c>
      <c r="E35" s="188">
        <f t="shared" si="24"/>
        <v>2836</v>
      </c>
      <c r="F35" s="188">
        <f t="shared" si="25"/>
        <v>2015</v>
      </c>
      <c r="G35" s="188">
        <f t="shared" si="17"/>
        <v>0</v>
      </c>
      <c r="H35" s="188"/>
      <c r="I35" s="188"/>
      <c r="J35" s="188">
        <f t="shared" si="18"/>
        <v>2015</v>
      </c>
      <c r="K35" s="189">
        <v>2015</v>
      </c>
      <c r="L35" s="188"/>
      <c r="M35" s="188">
        <f t="shared" si="26"/>
        <v>811</v>
      </c>
      <c r="N35" s="188">
        <f t="shared" si="19"/>
        <v>0</v>
      </c>
      <c r="O35" s="188"/>
      <c r="P35" s="188"/>
      <c r="Q35" s="188">
        <f t="shared" si="20"/>
        <v>811</v>
      </c>
      <c r="R35" s="189">
        <v>811</v>
      </c>
      <c r="S35" s="188"/>
      <c r="T35" s="188">
        <f t="shared" si="27"/>
        <v>10</v>
      </c>
      <c r="U35" s="188">
        <f t="shared" si="21"/>
        <v>0</v>
      </c>
      <c r="V35" s="188"/>
      <c r="W35" s="188"/>
      <c r="X35" s="188">
        <f t="shared" si="22"/>
        <v>10</v>
      </c>
      <c r="Y35" s="189">
        <v>10</v>
      </c>
      <c r="Z35" s="188"/>
    </row>
    <row r="36" spans="1:26" s="79" customFormat="1" ht="17.25" customHeight="1">
      <c r="A36" s="75">
        <v>11</v>
      </c>
      <c r="B36" s="192" t="s">
        <v>322</v>
      </c>
      <c r="C36" s="188">
        <f t="shared" si="16"/>
        <v>2921</v>
      </c>
      <c r="D36" s="188">
        <f t="shared" si="23"/>
        <v>0</v>
      </c>
      <c r="E36" s="188">
        <f t="shared" si="24"/>
        <v>2921</v>
      </c>
      <c r="F36" s="188">
        <f t="shared" si="25"/>
        <v>2004</v>
      </c>
      <c r="G36" s="188">
        <f t="shared" si="17"/>
        <v>0</v>
      </c>
      <c r="H36" s="188"/>
      <c r="I36" s="188"/>
      <c r="J36" s="188">
        <f t="shared" si="18"/>
        <v>2004</v>
      </c>
      <c r="K36" s="189">
        <v>2004</v>
      </c>
      <c r="L36" s="188"/>
      <c r="M36" s="188">
        <f t="shared" si="26"/>
        <v>907</v>
      </c>
      <c r="N36" s="188">
        <f t="shared" si="19"/>
        <v>0</v>
      </c>
      <c r="O36" s="188"/>
      <c r="P36" s="188"/>
      <c r="Q36" s="188">
        <f t="shared" si="20"/>
        <v>907</v>
      </c>
      <c r="R36" s="189">
        <v>907</v>
      </c>
      <c r="S36" s="188"/>
      <c r="T36" s="188">
        <f t="shared" si="27"/>
        <v>10</v>
      </c>
      <c r="U36" s="188">
        <f t="shared" si="21"/>
        <v>0</v>
      </c>
      <c r="V36" s="188"/>
      <c r="W36" s="188"/>
      <c r="X36" s="188">
        <f t="shared" si="22"/>
        <v>10</v>
      </c>
      <c r="Y36" s="189">
        <v>10</v>
      </c>
      <c r="Z36" s="188"/>
    </row>
    <row r="37" spans="1:26" s="79" customFormat="1" ht="17.25" customHeight="1">
      <c r="A37" s="75">
        <v>12</v>
      </c>
      <c r="B37" s="192" t="s">
        <v>323</v>
      </c>
      <c r="C37" s="188">
        <f t="shared" si="16"/>
        <v>2942</v>
      </c>
      <c r="D37" s="188">
        <f t="shared" si="23"/>
        <v>0</v>
      </c>
      <c r="E37" s="188">
        <f t="shared" si="24"/>
        <v>2942</v>
      </c>
      <c r="F37" s="188">
        <f t="shared" si="25"/>
        <v>2067</v>
      </c>
      <c r="G37" s="188">
        <f t="shared" si="17"/>
        <v>0</v>
      </c>
      <c r="H37" s="188"/>
      <c r="I37" s="188"/>
      <c r="J37" s="188">
        <f t="shared" si="18"/>
        <v>2067</v>
      </c>
      <c r="K37" s="189">
        <v>2067</v>
      </c>
      <c r="L37" s="188"/>
      <c r="M37" s="188">
        <f t="shared" si="26"/>
        <v>865</v>
      </c>
      <c r="N37" s="188">
        <f t="shared" si="19"/>
        <v>0</v>
      </c>
      <c r="O37" s="188"/>
      <c r="P37" s="188"/>
      <c r="Q37" s="188">
        <f t="shared" si="20"/>
        <v>865</v>
      </c>
      <c r="R37" s="189">
        <v>865</v>
      </c>
      <c r="S37" s="188"/>
      <c r="T37" s="188">
        <f t="shared" si="27"/>
        <v>10</v>
      </c>
      <c r="U37" s="188">
        <f t="shared" si="21"/>
        <v>0</v>
      </c>
      <c r="V37" s="188"/>
      <c r="W37" s="188"/>
      <c r="X37" s="188">
        <f t="shared" si="22"/>
        <v>10</v>
      </c>
      <c r="Y37" s="189">
        <v>10</v>
      </c>
      <c r="Z37" s="188"/>
    </row>
    <row r="38" spans="1:26" s="79" customFormat="1" ht="17.25" customHeight="1">
      <c r="A38" s="75">
        <v>13</v>
      </c>
      <c r="B38" s="192" t="s">
        <v>324</v>
      </c>
      <c r="C38" s="188">
        <f t="shared" si="16"/>
        <v>2827</v>
      </c>
      <c r="D38" s="188">
        <f t="shared" si="23"/>
        <v>0</v>
      </c>
      <c r="E38" s="188">
        <f t="shared" si="24"/>
        <v>2827</v>
      </c>
      <c r="F38" s="188">
        <f t="shared" si="25"/>
        <v>2006</v>
      </c>
      <c r="G38" s="188">
        <f t="shared" si="17"/>
        <v>0</v>
      </c>
      <c r="H38" s="188"/>
      <c r="I38" s="188"/>
      <c r="J38" s="188">
        <f t="shared" si="18"/>
        <v>2006</v>
      </c>
      <c r="K38" s="189">
        <v>2006</v>
      </c>
      <c r="L38" s="188"/>
      <c r="M38" s="188">
        <f t="shared" si="26"/>
        <v>811</v>
      </c>
      <c r="N38" s="188">
        <f t="shared" si="19"/>
        <v>0</v>
      </c>
      <c r="O38" s="188"/>
      <c r="P38" s="188"/>
      <c r="Q38" s="188">
        <f t="shared" si="20"/>
        <v>811</v>
      </c>
      <c r="R38" s="189">
        <v>811</v>
      </c>
      <c r="S38" s="188"/>
      <c r="T38" s="188">
        <f t="shared" si="27"/>
        <v>10</v>
      </c>
      <c r="U38" s="188">
        <f t="shared" si="21"/>
        <v>0</v>
      </c>
      <c r="V38" s="188"/>
      <c r="W38" s="188"/>
      <c r="X38" s="188">
        <f t="shared" si="22"/>
        <v>10</v>
      </c>
      <c r="Y38" s="189">
        <v>10</v>
      </c>
      <c r="Z38" s="188"/>
    </row>
    <row r="39" spans="1:26" s="79" customFormat="1" ht="17.25" customHeight="1">
      <c r="A39" s="75">
        <v>14</v>
      </c>
      <c r="B39" s="192" t="s">
        <v>325</v>
      </c>
      <c r="C39" s="188">
        <f t="shared" si="16"/>
        <v>2794</v>
      </c>
      <c r="D39" s="188">
        <f t="shared" si="23"/>
        <v>0</v>
      </c>
      <c r="E39" s="188">
        <f t="shared" si="24"/>
        <v>2794</v>
      </c>
      <c r="F39" s="188">
        <f t="shared" si="25"/>
        <v>2001</v>
      </c>
      <c r="G39" s="188">
        <f t="shared" si="17"/>
        <v>0</v>
      </c>
      <c r="H39" s="188"/>
      <c r="I39" s="188"/>
      <c r="J39" s="188">
        <f t="shared" si="18"/>
        <v>2001</v>
      </c>
      <c r="K39" s="189">
        <v>2001</v>
      </c>
      <c r="L39" s="188"/>
      <c r="M39" s="188">
        <f t="shared" si="26"/>
        <v>783</v>
      </c>
      <c r="N39" s="188">
        <f t="shared" si="19"/>
        <v>0</v>
      </c>
      <c r="O39" s="188"/>
      <c r="P39" s="188"/>
      <c r="Q39" s="188">
        <f t="shared" si="20"/>
        <v>783</v>
      </c>
      <c r="R39" s="189">
        <v>783</v>
      </c>
      <c r="S39" s="188"/>
      <c r="T39" s="188">
        <f t="shared" si="27"/>
        <v>10</v>
      </c>
      <c r="U39" s="188">
        <f t="shared" si="21"/>
        <v>0</v>
      </c>
      <c r="V39" s="188"/>
      <c r="W39" s="188"/>
      <c r="X39" s="188">
        <f t="shared" si="22"/>
        <v>10</v>
      </c>
      <c r="Y39" s="189">
        <v>10</v>
      </c>
      <c r="Z39" s="188"/>
    </row>
    <row r="40" spans="1:26" s="79" customFormat="1" ht="17.25" customHeight="1">
      <c r="A40" s="75">
        <v>15</v>
      </c>
      <c r="B40" s="192" t="s">
        <v>326</v>
      </c>
      <c r="C40" s="188">
        <f t="shared" si="16"/>
        <v>3036</v>
      </c>
      <c r="D40" s="188">
        <f t="shared" si="23"/>
        <v>0</v>
      </c>
      <c r="E40" s="188">
        <f t="shared" si="24"/>
        <v>3036</v>
      </c>
      <c r="F40" s="188">
        <f t="shared" si="25"/>
        <v>2147</v>
      </c>
      <c r="G40" s="188">
        <f t="shared" si="17"/>
        <v>0</v>
      </c>
      <c r="H40" s="188"/>
      <c r="I40" s="188"/>
      <c r="J40" s="188">
        <f t="shared" si="18"/>
        <v>2147</v>
      </c>
      <c r="K40" s="189">
        <v>2147</v>
      </c>
      <c r="L40" s="188"/>
      <c r="M40" s="188">
        <f t="shared" si="26"/>
        <v>879</v>
      </c>
      <c r="N40" s="188">
        <f t="shared" si="19"/>
        <v>0</v>
      </c>
      <c r="O40" s="188"/>
      <c r="P40" s="188"/>
      <c r="Q40" s="188">
        <f t="shared" si="20"/>
        <v>879</v>
      </c>
      <c r="R40" s="189">
        <v>879</v>
      </c>
      <c r="S40" s="188"/>
      <c r="T40" s="188">
        <f t="shared" si="27"/>
        <v>10</v>
      </c>
      <c r="U40" s="188">
        <f t="shared" si="21"/>
        <v>0</v>
      </c>
      <c r="V40" s="188"/>
      <c r="W40" s="188"/>
      <c r="X40" s="188">
        <f t="shared" si="22"/>
        <v>10</v>
      </c>
      <c r="Y40" s="189">
        <v>10</v>
      </c>
      <c r="Z40" s="188"/>
    </row>
    <row r="41" spans="1:26" s="79" customFormat="1" ht="17.25" customHeight="1">
      <c r="A41" s="75">
        <v>16</v>
      </c>
      <c r="B41" s="192" t="s">
        <v>327</v>
      </c>
      <c r="C41" s="188">
        <f t="shared" si="16"/>
        <v>2935</v>
      </c>
      <c r="D41" s="188">
        <f t="shared" si="23"/>
        <v>0</v>
      </c>
      <c r="E41" s="188">
        <f t="shared" si="24"/>
        <v>2935</v>
      </c>
      <c r="F41" s="188">
        <f t="shared" si="25"/>
        <v>2060</v>
      </c>
      <c r="G41" s="188">
        <f t="shared" si="17"/>
        <v>0</v>
      </c>
      <c r="H41" s="188"/>
      <c r="I41" s="188"/>
      <c r="J41" s="188">
        <f t="shared" si="18"/>
        <v>2060</v>
      </c>
      <c r="K41" s="189">
        <v>2060</v>
      </c>
      <c r="L41" s="188"/>
      <c r="M41" s="188">
        <f t="shared" si="26"/>
        <v>865</v>
      </c>
      <c r="N41" s="188">
        <f t="shared" si="19"/>
        <v>0</v>
      </c>
      <c r="O41" s="188"/>
      <c r="P41" s="188"/>
      <c r="Q41" s="188">
        <f t="shared" si="20"/>
        <v>865</v>
      </c>
      <c r="R41" s="189">
        <v>865</v>
      </c>
      <c r="S41" s="188"/>
      <c r="T41" s="188">
        <f t="shared" si="27"/>
        <v>10</v>
      </c>
      <c r="U41" s="188">
        <f t="shared" si="21"/>
        <v>0</v>
      </c>
      <c r="V41" s="188"/>
      <c r="W41" s="188"/>
      <c r="X41" s="188">
        <f t="shared" si="22"/>
        <v>10</v>
      </c>
      <c r="Y41" s="189">
        <v>10</v>
      </c>
      <c r="Z41" s="188"/>
    </row>
    <row r="42" spans="1:26" s="79" customFormat="1" ht="17.25" customHeight="1">
      <c r="A42" s="75">
        <v>17</v>
      </c>
      <c r="B42" s="192" t="s">
        <v>328</v>
      </c>
      <c r="C42" s="188">
        <f t="shared" si="16"/>
        <v>2778</v>
      </c>
      <c r="D42" s="188">
        <f t="shared" si="23"/>
        <v>0</v>
      </c>
      <c r="E42" s="188">
        <f t="shared" si="24"/>
        <v>2778</v>
      </c>
      <c r="F42" s="188">
        <f t="shared" si="25"/>
        <v>1958</v>
      </c>
      <c r="G42" s="188">
        <f t="shared" si="17"/>
        <v>0</v>
      </c>
      <c r="H42" s="188"/>
      <c r="I42" s="188"/>
      <c r="J42" s="188">
        <f t="shared" si="18"/>
        <v>1958</v>
      </c>
      <c r="K42" s="189">
        <v>1958</v>
      </c>
      <c r="L42" s="188"/>
      <c r="M42" s="188">
        <f t="shared" si="26"/>
        <v>810</v>
      </c>
      <c r="N42" s="188">
        <f t="shared" si="19"/>
        <v>0</v>
      </c>
      <c r="O42" s="188"/>
      <c r="P42" s="188"/>
      <c r="Q42" s="188">
        <f t="shared" si="20"/>
        <v>810</v>
      </c>
      <c r="R42" s="189">
        <v>810</v>
      </c>
      <c r="S42" s="188"/>
      <c r="T42" s="188">
        <f t="shared" si="27"/>
        <v>10</v>
      </c>
      <c r="U42" s="188">
        <f t="shared" si="21"/>
        <v>0</v>
      </c>
      <c r="V42" s="188"/>
      <c r="W42" s="188"/>
      <c r="X42" s="188">
        <f t="shared" si="22"/>
        <v>10</v>
      </c>
      <c r="Y42" s="189">
        <v>10</v>
      </c>
      <c r="Z42" s="188"/>
    </row>
    <row r="43" spans="1:26" s="79" customFormat="1" ht="17.25" customHeight="1">
      <c r="A43" s="75">
        <v>18</v>
      </c>
      <c r="B43" s="192" t="s">
        <v>329</v>
      </c>
      <c r="C43" s="188">
        <f>D43+E43</f>
        <v>2853</v>
      </c>
      <c r="D43" s="188">
        <f t="shared" si="23"/>
        <v>0</v>
      </c>
      <c r="E43" s="188">
        <f t="shared" si="24"/>
        <v>2853</v>
      </c>
      <c r="F43" s="188">
        <f t="shared" si="25"/>
        <v>1855</v>
      </c>
      <c r="G43" s="188">
        <f t="shared" si="17"/>
        <v>0</v>
      </c>
      <c r="H43" s="188"/>
      <c r="I43" s="188"/>
      <c r="J43" s="188">
        <f t="shared" si="18"/>
        <v>1855</v>
      </c>
      <c r="K43" s="189">
        <v>1855</v>
      </c>
      <c r="L43" s="188"/>
      <c r="M43" s="188">
        <f t="shared" si="26"/>
        <v>988</v>
      </c>
      <c r="N43" s="188">
        <f t="shared" si="19"/>
        <v>0</v>
      </c>
      <c r="O43" s="188"/>
      <c r="P43" s="188"/>
      <c r="Q43" s="188">
        <f t="shared" si="20"/>
        <v>988</v>
      </c>
      <c r="R43" s="189">
        <v>988</v>
      </c>
      <c r="S43" s="188"/>
      <c r="T43" s="188">
        <f t="shared" si="27"/>
        <v>10</v>
      </c>
      <c r="U43" s="188">
        <f t="shared" si="21"/>
        <v>0</v>
      </c>
      <c r="V43" s="188"/>
      <c r="W43" s="188"/>
      <c r="X43" s="188">
        <f t="shared" si="22"/>
        <v>10</v>
      </c>
      <c r="Y43" s="189">
        <v>10</v>
      </c>
      <c r="Z43" s="188"/>
    </row>
    <row r="44" spans="1:26" s="79" customFormat="1" ht="17.25" customHeight="1" thickBot="1">
      <c r="A44" s="472">
        <v>19</v>
      </c>
      <c r="B44" s="473" t="s">
        <v>330</v>
      </c>
      <c r="C44" s="474">
        <f t="shared" si="16"/>
        <v>2783</v>
      </c>
      <c r="D44" s="474">
        <f t="shared" si="23"/>
        <v>0</v>
      </c>
      <c r="E44" s="474">
        <f t="shared" si="24"/>
        <v>2783</v>
      </c>
      <c r="F44" s="474">
        <f t="shared" si="25"/>
        <v>1991</v>
      </c>
      <c r="G44" s="474">
        <f t="shared" si="17"/>
        <v>0</v>
      </c>
      <c r="H44" s="474"/>
      <c r="I44" s="474"/>
      <c r="J44" s="474">
        <f t="shared" si="18"/>
        <v>1991</v>
      </c>
      <c r="K44" s="475">
        <v>1991</v>
      </c>
      <c r="L44" s="474"/>
      <c r="M44" s="474">
        <f t="shared" si="26"/>
        <v>782</v>
      </c>
      <c r="N44" s="474">
        <f t="shared" si="19"/>
        <v>0</v>
      </c>
      <c r="O44" s="474"/>
      <c r="P44" s="474"/>
      <c r="Q44" s="474">
        <f t="shared" si="20"/>
        <v>782</v>
      </c>
      <c r="R44" s="475">
        <v>782</v>
      </c>
      <c r="S44" s="474"/>
      <c r="T44" s="474">
        <f t="shared" si="27"/>
        <v>10</v>
      </c>
      <c r="U44" s="474">
        <f t="shared" si="21"/>
        <v>0</v>
      </c>
      <c r="V44" s="474"/>
      <c r="W44" s="474"/>
      <c r="X44" s="474">
        <f t="shared" si="22"/>
        <v>10</v>
      </c>
      <c r="Y44" s="475">
        <v>10</v>
      </c>
      <c r="Z44" s="474"/>
    </row>
    <row r="45" spans="1:26" ht="22.5" customHeight="1" thickTop="1">
      <c r="A45" s="74"/>
      <c r="B45" s="81"/>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ht="18.75">
      <c r="A46" s="74"/>
      <c r="B46" s="81"/>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ht="18.75">
      <c r="A47" s="74"/>
      <c r="B47" s="81"/>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ht="18.75">
      <c r="A48" s="74"/>
      <c r="B48" s="81"/>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ht="18.75">
      <c r="A49" s="74"/>
      <c r="B49" s="81"/>
      <c r="C49" s="74"/>
      <c r="D49" s="74"/>
      <c r="E49" s="74"/>
      <c r="F49" s="74"/>
      <c r="G49" s="74"/>
      <c r="H49" s="74"/>
      <c r="I49" s="74"/>
      <c r="J49" s="74"/>
      <c r="K49" s="74"/>
      <c r="L49" s="74"/>
      <c r="M49" s="74"/>
      <c r="N49" s="74"/>
      <c r="O49" s="74"/>
      <c r="P49" s="74"/>
      <c r="Q49" s="74"/>
      <c r="R49" s="74"/>
      <c r="S49" s="74"/>
      <c r="T49" s="74"/>
      <c r="U49" s="74"/>
      <c r="V49" s="74"/>
      <c r="W49" s="74"/>
      <c r="X49" s="74"/>
      <c r="Y49" s="74"/>
      <c r="Z49" s="74"/>
    </row>
  </sheetData>
  <sheetProtection/>
  <mergeCells count="41">
    <mergeCell ref="T1:Z1"/>
    <mergeCell ref="R7:S7"/>
    <mergeCell ref="T7:Z7"/>
    <mergeCell ref="X10:X12"/>
    <mergeCell ref="T8:Z8"/>
    <mergeCell ref="A4:Z4"/>
    <mergeCell ref="Z10:Z12"/>
    <mergeCell ref="X9:Z9"/>
    <mergeCell ref="Q10:Q12"/>
    <mergeCell ref="S10:S12"/>
    <mergeCell ref="U10:U12"/>
    <mergeCell ref="K7:L7"/>
    <mergeCell ref="F8:L8"/>
    <mergeCell ref="F9:F12"/>
    <mergeCell ref="G9:I9"/>
    <mergeCell ref="A8:A12"/>
    <mergeCell ref="B8:B12"/>
    <mergeCell ref="C8:C12"/>
    <mergeCell ref="D8:E8"/>
    <mergeCell ref="K10:K12"/>
    <mergeCell ref="N10:N12"/>
    <mergeCell ref="M8:S8"/>
    <mergeCell ref="P10:P12"/>
    <mergeCell ref="N9:P9"/>
    <mergeCell ref="J9:L9"/>
    <mergeCell ref="D9:D12"/>
    <mergeCell ref="T9:T12"/>
    <mergeCell ref="M9:M12"/>
    <mergeCell ref="W10:W12"/>
    <mergeCell ref="R10:R12"/>
    <mergeCell ref="O10:O12"/>
    <mergeCell ref="V10:V12"/>
    <mergeCell ref="G10:G12"/>
    <mergeCell ref="U9:W9"/>
    <mergeCell ref="Q9:S9"/>
    <mergeCell ref="L10:L12"/>
    <mergeCell ref="Y10:Y12"/>
    <mergeCell ref="E9:E12"/>
    <mergeCell ref="I10:I12"/>
    <mergeCell ref="H10:H12"/>
    <mergeCell ref="J10:J12"/>
  </mergeCells>
  <printOptions horizontalCentered="1"/>
  <pageMargins left="0.3" right="0.22" top="0.35" bottom="0.35" header="0.2" footer="0.16"/>
  <pageSetup fitToHeight="0" fitToWidth="1" horizontalDpi="600" verticalDpi="600" orientation="landscape" paperSize="9" scale="62" r:id="rId1"/>
  <headerFooter alignWithMargins="0">
    <oddFooter>&amp;C&amp;".VnTime,Italic"&amp;8
</oddFooter>
  </headerFooter>
  <colBreaks count="1" manualBreakCount="1">
    <brk id="26" max="65535" man="1"/>
  </colBreaks>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M44"/>
  <sheetViews>
    <sheetView view="pageBreakPreview" zoomScaleSheetLayoutView="100" workbookViewId="0" topLeftCell="A16">
      <selection activeCell="A31" sqref="A31:K31"/>
    </sheetView>
  </sheetViews>
  <sheetFormatPr defaultColWidth="8.796875" defaultRowHeight="15"/>
  <cols>
    <col min="1" max="1" width="8.3984375" style="5" customWidth="1"/>
    <col min="2" max="2" width="19.59765625" style="5" customWidth="1"/>
    <col min="3" max="3" width="9.69921875" style="5" customWidth="1"/>
    <col min="4" max="4" width="12.19921875" style="5" customWidth="1"/>
    <col min="5" max="5" width="11.69921875" style="5" customWidth="1"/>
    <col min="6" max="6" width="10" style="5" customWidth="1"/>
    <col min="7" max="7" width="18.3984375" style="5" customWidth="1"/>
    <col min="8" max="8" width="12.09765625" style="5" customWidth="1"/>
    <col min="9" max="10" width="10" style="5" hidden="1" customWidth="1"/>
    <col min="11" max="11" width="11.59765625" style="5" customWidth="1"/>
    <col min="12" max="12" width="9" style="5" customWidth="1"/>
    <col min="13" max="13" width="10" style="5" bestFit="1" customWidth="1"/>
    <col min="14" max="16384" width="9" style="5" customWidth="1"/>
  </cols>
  <sheetData>
    <row r="1" spans="1:13" ht="21" customHeight="1">
      <c r="A1" s="217"/>
      <c r="B1" s="217"/>
      <c r="C1" s="218"/>
      <c r="D1" s="218"/>
      <c r="E1" s="218"/>
      <c r="F1" s="218"/>
      <c r="G1" s="218"/>
      <c r="H1" s="218"/>
      <c r="I1" s="219"/>
      <c r="J1" s="218"/>
      <c r="K1" s="220" t="s">
        <v>185</v>
      </c>
      <c r="L1" s="219"/>
      <c r="M1" s="219"/>
    </row>
    <row r="2" spans="1:13" s="11" customFormat="1" ht="27" customHeight="1">
      <c r="A2" s="221" t="s">
        <v>133</v>
      </c>
      <c r="B2" s="221"/>
      <c r="C2" s="222"/>
      <c r="D2" s="222"/>
      <c r="E2" s="222"/>
      <c r="F2" s="222"/>
      <c r="G2" s="222"/>
      <c r="H2" s="222"/>
      <c r="I2" s="222"/>
      <c r="J2" s="222"/>
      <c r="K2" s="222"/>
      <c r="L2" s="223"/>
      <c r="M2" s="223"/>
    </row>
    <row r="3" spans="1:13" s="11" customFormat="1" ht="21" customHeight="1">
      <c r="A3" s="403" t="s">
        <v>332</v>
      </c>
      <c r="B3" s="403"/>
      <c r="C3" s="403"/>
      <c r="D3" s="403"/>
      <c r="E3" s="403"/>
      <c r="F3" s="403"/>
      <c r="G3" s="403"/>
      <c r="H3" s="403"/>
      <c r="I3" s="403"/>
      <c r="J3" s="403"/>
      <c r="K3" s="403"/>
      <c r="L3" s="223"/>
      <c r="M3" s="223"/>
    </row>
    <row r="4" spans="1:13" ht="21.75" customHeight="1">
      <c r="A4" s="224" t="str">
        <f>PL15!A3</f>
        <v>(Kèm theo Nghị quyết số       /NQ-HĐND ngày       tháng 12 năm 2022 của HĐND huyện Tuần Giáo)</v>
      </c>
      <c r="B4" s="225"/>
      <c r="C4" s="218"/>
      <c r="D4" s="218"/>
      <c r="E4" s="218"/>
      <c r="F4" s="218"/>
      <c r="G4" s="218"/>
      <c r="H4" s="218"/>
      <c r="I4" s="218"/>
      <c r="J4" s="218"/>
      <c r="K4" s="218"/>
      <c r="L4" s="219"/>
      <c r="M4" s="219"/>
    </row>
    <row r="5" spans="1:13" ht="32.25" customHeight="1">
      <c r="A5" s="226"/>
      <c r="B5" s="226"/>
      <c r="C5" s="227"/>
      <c r="D5" s="227"/>
      <c r="E5" s="227"/>
      <c r="F5" s="227"/>
      <c r="G5" s="227"/>
      <c r="H5" s="227"/>
      <c r="I5" s="227"/>
      <c r="J5" s="227"/>
      <c r="K5" s="228" t="s">
        <v>92</v>
      </c>
      <c r="L5" s="219"/>
      <c r="M5" s="219"/>
    </row>
    <row r="6" spans="1:13" s="6" customFormat="1" ht="22.5" customHeight="1">
      <c r="A6" s="405" t="s">
        <v>62</v>
      </c>
      <c r="B6" s="408" t="s">
        <v>32</v>
      </c>
      <c r="C6" s="404" t="s">
        <v>56</v>
      </c>
      <c r="D6" s="404" t="s">
        <v>57</v>
      </c>
      <c r="E6" s="404" t="s">
        <v>54</v>
      </c>
      <c r="F6" s="404"/>
      <c r="G6" s="404"/>
      <c r="H6" s="404" t="s">
        <v>59</v>
      </c>
      <c r="I6" s="404" t="s">
        <v>80</v>
      </c>
      <c r="J6" s="404" t="s">
        <v>74</v>
      </c>
      <c r="K6" s="404" t="s">
        <v>60</v>
      </c>
      <c r="L6" s="227"/>
      <c r="M6" s="227"/>
    </row>
    <row r="7" spans="1:13" s="6" customFormat="1" ht="22.5" customHeight="1">
      <c r="A7" s="406"/>
      <c r="B7" s="408"/>
      <c r="C7" s="404"/>
      <c r="D7" s="404"/>
      <c r="E7" s="404" t="s">
        <v>58</v>
      </c>
      <c r="F7" s="404" t="s">
        <v>69</v>
      </c>
      <c r="G7" s="409"/>
      <c r="H7" s="404"/>
      <c r="I7" s="404"/>
      <c r="J7" s="404"/>
      <c r="K7" s="404"/>
      <c r="L7" s="227"/>
      <c r="M7" s="227"/>
    </row>
    <row r="8" spans="1:13" s="6" customFormat="1" ht="13.5" customHeight="1">
      <c r="A8" s="406"/>
      <c r="B8" s="408"/>
      <c r="C8" s="404"/>
      <c r="D8" s="404"/>
      <c r="E8" s="404"/>
      <c r="F8" s="404" t="s">
        <v>70</v>
      </c>
      <c r="G8" s="404" t="s">
        <v>131</v>
      </c>
      <c r="H8" s="404"/>
      <c r="I8" s="404"/>
      <c r="J8" s="404"/>
      <c r="K8" s="404"/>
      <c r="L8" s="227"/>
      <c r="M8" s="227"/>
    </row>
    <row r="9" spans="1:13" s="6" customFormat="1" ht="13.5" customHeight="1">
      <c r="A9" s="406"/>
      <c r="B9" s="408"/>
      <c r="C9" s="404"/>
      <c r="D9" s="404"/>
      <c r="E9" s="404"/>
      <c r="F9" s="404"/>
      <c r="G9" s="409"/>
      <c r="H9" s="404"/>
      <c r="I9" s="404"/>
      <c r="J9" s="404"/>
      <c r="K9" s="404"/>
      <c r="L9" s="227"/>
      <c r="M9" s="227"/>
    </row>
    <row r="10" spans="1:13" s="6" customFormat="1" ht="13.5" customHeight="1">
      <c r="A10" s="407"/>
      <c r="B10" s="408"/>
      <c r="C10" s="404"/>
      <c r="D10" s="404"/>
      <c r="E10" s="404"/>
      <c r="F10" s="404"/>
      <c r="G10" s="409"/>
      <c r="H10" s="404"/>
      <c r="I10" s="404"/>
      <c r="J10" s="404"/>
      <c r="K10" s="404"/>
      <c r="L10" s="227"/>
      <c r="M10" s="227"/>
    </row>
    <row r="11" spans="1:13" s="6" customFormat="1" ht="18.75" customHeight="1">
      <c r="A11" s="7" t="s">
        <v>10</v>
      </c>
      <c r="B11" s="7" t="s">
        <v>11</v>
      </c>
      <c r="C11" s="7">
        <v>1</v>
      </c>
      <c r="D11" s="7" t="s">
        <v>132</v>
      </c>
      <c r="E11" s="7">
        <v>3</v>
      </c>
      <c r="F11" s="7">
        <f>E11+1</f>
        <v>4</v>
      </c>
      <c r="G11" s="7">
        <f>F11+1</f>
        <v>5</v>
      </c>
      <c r="H11" s="7">
        <f>G11+1</f>
        <v>6</v>
      </c>
      <c r="I11" s="7"/>
      <c r="J11" s="7"/>
      <c r="K11" s="7" t="s">
        <v>244</v>
      </c>
      <c r="L11" s="227"/>
      <c r="M11" s="227"/>
    </row>
    <row r="12" spans="1:13" s="6" customFormat="1" ht="27.75" customHeight="1">
      <c r="A12" s="229"/>
      <c r="B12" s="230" t="s">
        <v>31</v>
      </c>
      <c r="C12" s="231">
        <f aca="true" t="shared" si="0" ref="C12:K12">SUM(C13:C31)</f>
        <v>3980</v>
      </c>
      <c r="D12" s="231">
        <f t="shared" si="0"/>
        <v>3980</v>
      </c>
      <c r="E12" s="231">
        <f t="shared" si="0"/>
        <v>3435</v>
      </c>
      <c r="F12" s="231">
        <f t="shared" si="0"/>
        <v>15000</v>
      </c>
      <c r="G12" s="231">
        <f t="shared" si="0"/>
        <v>2700</v>
      </c>
      <c r="H12" s="231">
        <f t="shared" si="0"/>
        <v>88891</v>
      </c>
      <c r="I12" s="231">
        <f t="shared" si="0"/>
        <v>0</v>
      </c>
      <c r="J12" s="231">
        <f t="shared" si="0"/>
        <v>0</v>
      </c>
      <c r="K12" s="231">
        <f t="shared" si="0"/>
        <v>92871</v>
      </c>
      <c r="L12" s="232">
        <v>54850</v>
      </c>
      <c r="M12" s="233">
        <f>+L12+K12</f>
        <v>147721</v>
      </c>
    </row>
    <row r="13" spans="1:13" s="6" customFormat="1" ht="25.5" customHeight="1">
      <c r="A13" s="234">
        <v>1</v>
      </c>
      <c r="B13" s="235" t="s">
        <v>313</v>
      </c>
      <c r="C13" s="236">
        <v>105</v>
      </c>
      <c r="D13" s="236">
        <v>105</v>
      </c>
      <c r="E13" s="236">
        <v>105</v>
      </c>
      <c r="F13" s="236"/>
      <c r="G13" s="236"/>
      <c r="H13" s="236">
        <v>6072</v>
      </c>
      <c r="I13" s="236"/>
      <c r="J13" s="236"/>
      <c r="K13" s="236">
        <f>D13+H13+I13+J13</f>
        <v>6177</v>
      </c>
      <c r="L13" s="233"/>
      <c r="M13" s="227"/>
    </row>
    <row r="14" spans="1:13" s="6" customFormat="1" ht="25.5" customHeight="1">
      <c r="A14" s="234">
        <v>2</v>
      </c>
      <c r="B14" s="235" t="s">
        <v>314</v>
      </c>
      <c r="C14" s="236">
        <v>28</v>
      </c>
      <c r="D14" s="236">
        <v>28</v>
      </c>
      <c r="E14" s="236">
        <v>28</v>
      </c>
      <c r="F14" s="236"/>
      <c r="G14" s="236"/>
      <c r="H14" s="236">
        <v>4417</v>
      </c>
      <c r="I14" s="236"/>
      <c r="J14" s="236"/>
      <c r="K14" s="236">
        <f>D14+H14+I14+J14</f>
        <v>4445</v>
      </c>
      <c r="L14" s="227"/>
      <c r="M14" s="227"/>
    </row>
    <row r="15" spans="1:13" s="6" customFormat="1" ht="25.5" customHeight="1">
      <c r="A15" s="234">
        <v>3</v>
      </c>
      <c r="B15" s="235" t="s">
        <v>315</v>
      </c>
      <c r="C15" s="236">
        <v>45</v>
      </c>
      <c r="D15" s="236">
        <v>45</v>
      </c>
      <c r="E15" s="236">
        <v>45</v>
      </c>
      <c r="F15" s="236"/>
      <c r="G15" s="236"/>
      <c r="H15" s="236">
        <v>4360</v>
      </c>
      <c r="I15" s="236"/>
      <c r="J15" s="236"/>
      <c r="K15" s="236">
        <f aca="true" t="shared" si="1" ref="K15:K30">D15+H15+I15+J15</f>
        <v>4405</v>
      </c>
      <c r="L15" s="227"/>
      <c r="M15" s="227"/>
    </row>
    <row r="16" spans="1:13" s="6" customFormat="1" ht="25.5" customHeight="1">
      <c r="A16" s="234">
        <v>4</v>
      </c>
      <c r="B16" s="235" t="s">
        <v>316</v>
      </c>
      <c r="C16" s="236">
        <v>95</v>
      </c>
      <c r="D16" s="236">
        <v>95</v>
      </c>
      <c r="E16" s="236">
        <v>95</v>
      </c>
      <c r="F16" s="236"/>
      <c r="G16" s="236"/>
      <c r="H16" s="236">
        <v>5312</v>
      </c>
      <c r="I16" s="236"/>
      <c r="J16" s="236"/>
      <c r="K16" s="236">
        <f t="shared" si="1"/>
        <v>5407</v>
      </c>
      <c r="L16" s="227"/>
      <c r="M16" s="227"/>
    </row>
    <row r="17" spans="1:13" s="6" customFormat="1" ht="25.5" customHeight="1">
      <c r="A17" s="234">
        <v>5</v>
      </c>
      <c r="B17" s="235" t="s">
        <v>317</v>
      </c>
      <c r="C17" s="236">
        <v>50</v>
      </c>
      <c r="D17" s="236">
        <v>50</v>
      </c>
      <c r="E17" s="236">
        <v>50</v>
      </c>
      <c r="F17" s="236"/>
      <c r="G17" s="236"/>
      <c r="H17" s="236">
        <v>4549</v>
      </c>
      <c r="I17" s="236"/>
      <c r="J17" s="236"/>
      <c r="K17" s="236">
        <f t="shared" si="1"/>
        <v>4599</v>
      </c>
      <c r="L17" s="227"/>
      <c r="M17" s="227"/>
    </row>
    <row r="18" spans="1:13" s="6" customFormat="1" ht="25.5" customHeight="1">
      <c r="A18" s="234">
        <v>6</v>
      </c>
      <c r="B18" s="235" t="s">
        <v>222</v>
      </c>
      <c r="C18" s="236">
        <v>3245</v>
      </c>
      <c r="D18" s="236">
        <v>3245</v>
      </c>
      <c r="E18" s="236">
        <v>2700</v>
      </c>
      <c r="F18" s="236">
        <v>15000</v>
      </c>
      <c r="G18" s="236">
        <f>F18*18%</f>
        <v>2700</v>
      </c>
      <c r="H18" s="236">
        <v>4473</v>
      </c>
      <c r="I18" s="236"/>
      <c r="J18" s="236"/>
      <c r="K18" s="236">
        <f t="shared" si="1"/>
        <v>7718</v>
      </c>
      <c r="L18" s="227"/>
      <c r="M18" s="227"/>
    </row>
    <row r="19" spans="1:13" s="6" customFormat="1" ht="25.5" customHeight="1">
      <c r="A19" s="234">
        <v>7</v>
      </c>
      <c r="B19" s="235" t="s">
        <v>318</v>
      </c>
      <c r="C19" s="236">
        <v>90</v>
      </c>
      <c r="D19" s="236">
        <v>90</v>
      </c>
      <c r="E19" s="236">
        <v>90</v>
      </c>
      <c r="F19" s="236"/>
      <c r="G19" s="236"/>
      <c r="H19" s="236">
        <v>5065</v>
      </c>
      <c r="I19" s="236"/>
      <c r="J19" s="236"/>
      <c r="K19" s="236">
        <f t="shared" si="1"/>
        <v>5155</v>
      </c>
      <c r="L19" s="227"/>
      <c r="M19" s="227"/>
    </row>
    <row r="20" spans="1:13" s="6" customFormat="1" ht="25.5" customHeight="1">
      <c r="A20" s="234">
        <v>8</v>
      </c>
      <c r="B20" s="235" t="s">
        <v>319</v>
      </c>
      <c r="C20" s="236">
        <v>30</v>
      </c>
      <c r="D20" s="236">
        <v>30</v>
      </c>
      <c r="E20" s="236">
        <v>30</v>
      </c>
      <c r="F20" s="236"/>
      <c r="G20" s="236"/>
      <c r="H20" s="236">
        <v>5129</v>
      </c>
      <c r="I20" s="236"/>
      <c r="J20" s="236"/>
      <c r="K20" s="236">
        <f t="shared" si="1"/>
        <v>5159</v>
      </c>
      <c r="L20" s="227"/>
      <c r="M20" s="227"/>
    </row>
    <row r="21" spans="1:13" s="6" customFormat="1" ht="25.5" customHeight="1">
      <c r="A21" s="234">
        <v>9</v>
      </c>
      <c r="B21" s="235" t="s">
        <v>320</v>
      </c>
      <c r="C21" s="236">
        <v>40</v>
      </c>
      <c r="D21" s="236">
        <v>40</v>
      </c>
      <c r="E21" s="236">
        <v>40</v>
      </c>
      <c r="F21" s="236"/>
      <c r="G21" s="236"/>
      <c r="H21" s="236">
        <v>4803</v>
      </c>
      <c r="I21" s="236"/>
      <c r="J21" s="236"/>
      <c r="K21" s="236">
        <f t="shared" si="1"/>
        <v>4843</v>
      </c>
      <c r="L21" s="227"/>
      <c r="M21" s="227"/>
    </row>
    <row r="22" spans="1:13" s="6" customFormat="1" ht="25.5" customHeight="1">
      <c r="A22" s="234">
        <v>10</v>
      </c>
      <c r="B22" s="235" t="s">
        <v>321</v>
      </c>
      <c r="C22" s="236">
        <v>20</v>
      </c>
      <c r="D22" s="236">
        <v>20</v>
      </c>
      <c r="E22" s="236">
        <v>20</v>
      </c>
      <c r="F22" s="236"/>
      <c r="G22" s="236"/>
      <c r="H22" s="236">
        <v>4464</v>
      </c>
      <c r="I22" s="236"/>
      <c r="J22" s="236"/>
      <c r="K22" s="236">
        <f t="shared" si="1"/>
        <v>4484</v>
      </c>
      <c r="L22" s="227"/>
      <c r="M22" s="227"/>
    </row>
    <row r="23" spans="1:13" s="6" customFormat="1" ht="25.5" customHeight="1">
      <c r="A23" s="234">
        <v>11</v>
      </c>
      <c r="B23" s="235" t="s">
        <v>322</v>
      </c>
      <c r="C23" s="236">
        <v>30</v>
      </c>
      <c r="D23" s="236">
        <v>30</v>
      </c>
      <c r="E23" s="236">
        <v>30</v>
      </c>
      <c r="F23" s="236"/>
      <c r="G23" s="236"/>
      <c r="H23" s="236">
        <v>4343</v>
      </c>
      <c r="I23" s="236"/>
      <c r="J23" s="236"/>
      <c r="K23" s="236">
        <f t="shared" si="1"/>
        <v>4373</v>
      </c>
      <c r="L23" s="227"/>
      <c r="M23" s="227"/>
    </row>
    <row r="24" spans="1:13" s="6" customFormat="1" ht="25.5" customHeight="1">
      <c r="A24" s="234">
        <v>12</v>
      </c>
      <c r="B24" s="235" t="s">
        <v>323</v>
      </c>
      <c r="C24" s="236">
        <v>17</v>
      </c>
      <c r="D24" s="236">
        <v>17</v>
      </c>
      <c r="E24" s="236">
        <v>17</v>
      </c>
      <c r="F24" s="236"/>
      <c r="G24" s="236"/>
      <c r="H24" s="236">
        <v>4213</v>
      </c>
      <c r="I24" s="236"/>
      <c r="J24" s="236"/>
      <c r="K24" s="236">
        <f t="shared" si="1"/>
        <v>4230</v>
      </c>
      <c r="L24" s="227"/>
      <c r="M24" s="227"/>
    </row>
    <row r="25" spans="1:13" s="6" customFormat="1" ht="25.5" customHeight="1">
      <c r="A25" s="234">
        <v>13</v>
      </c>
      <c r="B25" s="235" t="s">
        <v>324</v>
      </c>
      <c r="C25" s="236">
        <v>17</v>
      </c>
      <c r="D25" s="236">
        <v>17</v>
      </c>
      <c r="E25" s="236">
        <v>17</v>
      </c>
      <c r="F25" s="236"/>
      <c r="G25" s="236"/>
      <c r="H25" s="236">
        <v>4472</v>
      </c>
      <c r="I25" s="236"/>
      <c r="J25" s="236"/>
      <c r="K25" s="236">
        <f t="shared" si="1"/>
        <v>4489</v>
      </c>
      <c r="L25" s="227"/>
      <c r="M25" s="227"/>
    </row>
    <row r="26" spans="1:13" s="6" customFormat="1" ht="25.5" customHeight="1">
      <c r="A26" s="234">
        <v>14</v>
      </c>
      <c r="B26" s="235" t="s">
        <v>325</v>
      </c>
      <c r="C26" s="236">
        <v>20</v>
      </c>
      <c r="D26" s="236">
        <v>20</v>
      </c>
      <c r="E26" s="236">
        <v>20</v>
      </c>
      <c r="F26" s="236"/>
      <c r="G26" s="236"/>
      <c r="H26" s="236">
        <v>4458</v>
      </c>
      <c r="I26" s="236"/>
      <c r="J26" s="236"/>
      <c r="K26" s="236">
        <f t="shared" si="1"/>
        <v>4478</v>
      </c>
      <c r="L26" s="227"/>
      <c r="M26" s="227"/>
    </row>
    <row r="27" spans="1:13" s="6" customFormat="1" ht="25.5" customHeight="1">
      <c r="A27" s="234">
        <v>15</v>
      </c>
      <c r="B27" s="235" t="s">
        <v>326</v>
      </c>
      <c r="C27" s="236">
        <v>15</v>
      </c>
      <c r="D27" s="236">
        <v>15</v>
      </c>
      <c r="E27" s="236">
        <v>15</v>
      </c>
      <c r="F27" s="236"/>
      <c r="G27" s="236"/>
      <c r="H27" s="236">
        <v>4730</v>
      </c>
      <c r="I27" s="236"/>
      <c r="J27" s="236"/>
      <c r="K27" s="236">
        <f t="shared" si="1"/>
        <v>4745</v>
      </c>
      <c r="L27" s="227"/>
      <c r="M27" s="227"/>
    </row>
    <row r="28" spans="1:13" ht="25.5" customHeight="1">
      <c r="A28" s="234">
        <v>16</v>
      </c>
      <c r="B28" s="235" t="s">
        <v>327</v>
      </c>
      <c r="C28" s="236">
        <v>15</v>
      </c>
      <c r="D28" s="236">
        <v>15</v>
      </c>
      <c r="E28" s="236">
        <v>15</v>
      </c>
      <c r="F28" s="236"/>
      <c r="G28" s="236"/>
      <c r="H28" s="236">
        <v>3963</v>
      </c>
      <c r="I28" s="236"/>
      <c r="J28" s="236"/>
      <c r="K28" s="236">
        <f t="shared" si="1"/>
        <v>3978</v>
      </c>
      <c r="L28" s="227"/>
      <c r="M28" s="219"/>
    </row>
    <row r="29" spans="1:13" ht="25.5" customHeight="1">
      <c r="A29" s="234">
        <v>17</v>
      </c>
      <c r="B29" s="235" t="s">
        <v>328</v>
      </c>
      <c r="C29" s="236">
        <v>23</v>
      </c>
      <c r="D29" s="236">
        <v>23</v>
      </c>
      <c r="E29" s="236">
        <v>23</v>
      </c>
      <c r="F29" s="236"/>
      <c r="G29" s="236"/>
      <c r="H29" s="236">
        <v>4523</v>
      </c>
      <c r="I29" s="236"/>
      <c r="J29" s="236"/>
      <c r="K29" s="236">
        <f t="shared" si="1"/>
        <v>4546</v>
      </c>
      <c r="L29" s="227"/>
      <c r="M29" s="219"/>
    </row>
    <row r="30" spans="1:13" ht="25.5" customHeight="1">
      <c r="A30" s="234">
        <v>18</v>
      </c>
      <c r="B30" s="235" t="s">
        <v>329</v>
      </c>
      <c r="C30" s="236">
        <v>70</v>
      </c>
      <c r="D30" s="236">
        <v>70</v>
      </c>
      <c r="E30" s="236">
        <v>70</v>
      </c>
      <c r="F30" s="236">
        <f>+G30/80*100</f>
        <v>0</v>
      </c>
      <c r="G30" s="236"/>
      <c r="H30" s="236">
        <v>5157</v>
      </c>
      <c r="I30" s="236"/>
      <c r="J30" s="236"/>
      <c r="K30" s="236">
        <f t="shared" si="1"/>
        <v>5227</v>
      </c>
      <c r="L30" s="227"/>
      <c r="M30" s="219"/>
    </row>
    <row r="31" spans="1:13" ht="25.5" customHeight="1" thickBot="1">
      <c r="A31" s="476">
        <v>19</v>
      </c>
      <c r="B31" s="477" t="s">
        <v>330</v>
      </c>
      <c r="C31" s="478">
        <v>25</v>
      </c>
      <c r="D31" s="478">
        <v>25</v>
      </c>
      <c r="E31" s="478">
        <v>25</v>
      </c>
      <c r="F31" s="478"/>
      <c r="G31" s="478"/>
      <c r="H31" s="478">
        <v>4388</v>
      </c>
      <c r="I31" s="478"/>
      <c r="J31" s="478"/>
      <c r="K31" s="478">
        <f>D31+H31+I31+J31</f>
        <v>4413</v>
      </c>
      <c r="L31" s="227"/>
      <c r="M31" s="219"/>
    </row>
    <row r="32" spans="1:12" ht="19.5" thickTop="1">
      <c r="A32" s="6"/>
      <c r="B32" s="6"/>
      <c r="C32" s="6"/>
      <c r="D32" s="6"/>
      <c r="E32" s="6"/>
      <c r="F32" s="6"/>
      <c r="G32" s="6"/>
      <c r="H32" s="6"/>
      <c r="I32" s="6"/>
      <c r="J32" s="6"/>
      <c r="K32" s="6"/>
      <c r="L32" s="6"/>
    </row>
    <row r="33" spans="1:12" ht="18.75">
      <c r="A33" s="8"/>
      <c r="B33" s="6"/>
      <c r="C33" s="6"/>
      <c r="D33" s="6"/>
      <c r="E33" s="6"/>
      <c r="F33" s="6"/>
      <c r="G33" s="6"/>
      <c r="H33" s="6"/>
      <c r="I33" s="6"/>
      <c r="J33" s="6"/>
      <c r="K33" s="6"/>
      <c r="L33" s="6"/>
    </row>
    <row r="34" spans="1:11" ht="18.75">
      <c r="A34" s="6"/>
      <c r="B34" s="6"/>
      <c r="C34" s="6"/>
      <c r="D34" s="6"/>
      <c r="E34" s="6"/>
      <c r="F34" s="6"/>
      <c r="G34" s="6"/>
      <c r="H34" s="6"/>
      <c r="I34" s="6"/>
      <c r="J34" s="6"/>
      <c r="K34" s="6"/>
    </row>
    <row r="35" spans="1:11" ht="18.75">
      <c r="A35" s="6"/>
      <c r="B35" s="6"/>
      <c r="C35" s="6"/>
      <c r="D35" s="6"/>
      <c r="E35" s="6"/>
      <c r="F35" s="6"/>
      <c r="G35" s="6"/>
      <c r="H35" s="6"/>
      <c r="I35" s="6"/>
      <c r="J35" s="6"/>
      <c r="K35" s="6"/>
    </row>
    <row r="36" spans="1:11" ht="18.75">
      <c r="A36" s="6"/>
      <c r="B36" s="6"/>
      <c r="C36" s="6"/>
      <c r="D36" s="6"/>
      <c r="E36" s="6"/>
      <c r="F36" s="6"/>
      <c r="G36" s="6"/>
      <c r="H36" s="6"/>
      <c r="I36" s="6"/>
      <c r="J36" s="6"/>
      <c r="K36" s="6"/>
    </row>
    <row r="37" spans="1:11" ht="18.75">
      <c r="A37" s="6"/>
      <c r="B37" s="6"/>
      <c r="C37" s="6"/>
      <c r="D37" s="6"/>
      <c r="E37" s="6"/>
      <c r="F37" s="6"/>
      <c r="G37" s="6"/>
      <c r="H37" s="6"/>
      <c r="I37" s="6"/>
      <c r="J37" s="6"/>
      <c r="K37" s="6"/>
    </row>
    <row r="38" spans="1:11" ht="18.75">
      <c r="A38" s="6"/>
      <c r="B38" s="6"/>
      <c r="C38" s="6"/>
      <c r="D38" s="6"/>
      <c r="E38" s="6"/>
      <c r="F38" s="6"/>
      <c r="G38" s="6"/>
      <c r="H38" s="6"/>
      <c r="I38" s="6"/>
      <c r="J38" s="6"/>
      <c r="K38" s="6"/>
    </row>
    <row r="39" spans="1:11" ht="18.75">
      <c r="A39" s="6"/>
      <c r="B39" s="6"/>
      <c r="C39" s="6"/>
      <c r="D39" s="6"/>
      <c r="E39" s="6"/>
      <c r="F39" s="6"/>
      <c r="G39" s="6"/>
      <c r="H39" s="6"/>
      <c r="I39" s="6"/>
      <c r="J39" s="6"/>
      <c r="K39" s="6"/>
    </row>
    <row r="40" spans="1:11" ht="22.5" customHeight="1">
      <c r="A40" s="6"/>
      <c r="B40" s="6"/>
      <c r="C40" s="6"/>
      <c r="D40" s="6"/>
      <c r="E40" s="6"/>
      <c r="F40" s="6"/>
      <c r="G40" s="6"/>
      <c r="H40" s="6"/>
      <c r="I40" s="6"/>
      <c r="J40" s="6"/>
      <c r="K40" s="6"/>
    </row>
    <row r="41" spans="1:11" ht="18.75">
      <c r="A41" s="6"/>
      <c r="B41" s="6"/>
      <c r="C41" s="6"/>
      <c r="D41" s="6"/>
      <c r="E41" s="6"/>
      <c r="F41" s="6"/>
      <c r="G41" s="6"/>
      <c r="H41" s="6"/>
      <c r="I41" s="6"/>
      <c r="J41" s="6"/>
      <c r="K41" s="6"/>
    </row>
    <row r="42" spans="1:11" ht="18.75">
      <c r="A42" s="6"/>
      <c r="B42" s="6"/>
      <c r="C42" s="6"/>
      <c r="D42" s="6"/>
      <c r="E42" s="6"/>
      <c r="F42" s="6"/>
      <c r="G42" s="6"/>
      <c r="H42" s="6"/>
      <c r="I42" s="6"/>
      <c r="J42" s="6"/>
      <c r="K42" s="6"/>
    </row>
    <row r="43" spans="1:11" ht="18.75">
      <c r="A43" s="6"/>
      <c r="B43" s="6"/>
      <c r="C43" s="6"/>
      <c r="D43" s="6"/>
      <c r="E43" s="6"/>
      <c r="F43" s="6"/>
      <c r="G43" s="6"/>
      <c r="H43" s="6"/>
      <c r="I43" s="6"/>
      <c r="J43" s="6"/>
      <c r="K43" s="6"/>
    </row>
    <row r="44" spans="1:11" ht="18.75">
      <c r="A44" s="6"/>
      <c r="B44" s="6"/>
      <c r="C44" s="6"/>
      <c r="D44" s="6"/>
      <c r="E44" s="6"/>
      <c r="F44" s="6"/>
      <c r="G44" s="6"/>
      <c r="H44" s="6"/>
      <c r="I44" s="6"/>
      <c r="J44" s="6"/>
      <c r="K44" s="6"/>
    </row>
  </sheetData>
  <sheetProtection/>
  <mergeCells count="14">
    <mergeCell ref="E7:E10"/>
    <mergeCell ref="F7:G7"/>
    <mergeCell ref="F8:F10"/>
    <mergeCell ref="G8:G10"/>
    <mergeCell ref="A3:K3"/>
    <mergeCell ref="H6:H10"/>
    <mergeCell ref="I6:I10"/>
    <mergeCell ref="J6:J10"/>
    <mergeCell ref="K6:K10"/>
    <mergeCell ref="A6:A10"/>
    <mergeCell ref="B6:B10"/>
    <mergeCell ref="C6:C10"/>
    <mergeCell ref="D6:D10"/>
    <mergeCell ref="E6:G6"/>
  </mergeCells>
  <printOptions horizontalCentered="1"/>
  <pageMargins left="0.56" right="0.23" top="0.9" bottom="0.17" header="0.53" footer="0.26"/>
  <pageSetup fitToHeight="0" fitToWidth="1" horizontalDpi="600" verticalDpi="600" orientation="portrait" paperSize="9" scale="78" r:id="rId1"/>
  <headerFooter alignWithMargins="0">
    <oddFooter>&amp;C&amp;".VnTime,Italic"&amp;8
</oddFooter>
  </headerFooter>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U39"/>
  <sheetViews>
    <sheetView view="pageBreakPreview" zoomScale="60" zoomScaleNormal="70" zoomScalePageLayoutView="0" workbookViewId="0" topLeftCell="A1">
      <selection activeCell="A36" sqref="A36:T36"/>
    </sheetView>
  </sheetViews>
  <sheetFormatPr defaultColWidth="8.796875" defaultRowHeight="15"/>
  <cols>
    <col min="1" max="1" width="5.69921875" style="67" customWidth="1"/>
    <col min="2" max="2" width="14.8984375" style="67" customWidth="1"/>
    <col min="3" max="3" width="10.59765625" style="67" customWidth="1"/>
    <col min="4" max="4" width="10.19921875" style="67" customWidth="1"/>
    <col min="5" max="5" width="9.69921875" style="67" customWidth="1"/>
    <col min="6" max="6" width="7.09765625" style="67" customWidth="1"/>
    <col min="7" max="7" width="6.59765625" style="67" customWidth="1"/>
    <col min="8" max="8" width="6.8984375" style="67" customWidth="1"/>
    <col min="9" max="9" width="6.19921875" style="67" customWidth="1"/>
    <col min="10" max="10" width="8.3984375" style="67" customWidth="1"/>
    <col min="11" max="11" width="10.19921875" style="67" customWidth="1"/>
    <col min="12" max="12" width="7.5" style="67" customWidth="1"/>
    <col min="13" max="13" width="7.19921875" style="67" customWidth="1"/>
    <col min="14" max="14" width="6.3984375" style="67" customWidth="1"/>
    <col min="15" max="15" width="9.59765625" style="67" customWidth="1"/>
    <col min="16" max="16" width="8.09765625" style="67" customWidth="1"/>
    <col min="17" max="17" width="9.8984375" style="67" customWidth="1"/>
    <col min="18" max="19" width="9.19921875" style="67" customWidth="1"/>
    <col min="20" max="20" width="11" style="67" customWidth="1"/>
    <col min="21" max="21" width="7.19921875" style="67" hidden="1" customWidth="1"/>
    <col min="22" max="16384" width="9" style="67" customWidth="1"/>
  </cols>
  <sheetData>
    <row r="1" spans="1:21" ht="18.75">
      <c r="A1" s="99"/>
      <c r="B1" s="99"/>
      <c r="C1" s="101"/>
      <c r="D1" s="101"/>
      <c r="E1" s="101"/>
      <c r="F1" s="146"/>
      <c r="G1" s="146"/>
      <c r="H1" s="146"/>
      <c r="I1" s="101"/>
      <c r="J1" s="101"/>
      <c r="K1" s="101"/>
      <c r="L1" s="101"/>
      <c r="M1" s="146"/>
      <c r="N1" s="118"/>
      <c r="O1" s="101"/>
      <c r="P1" s="118"/>
      <c r="Q1" s="146"/>
      <c r="S1" s="144"/>
      <c r="T1" s="145" t="s">
        <v>229</v>
      </c>
      <c r="U1" s="144"/>
    </row>
    <row r="2" spans="1:21" s="105" customFormat="1" ht="18.75">
      <c r="A2" s="365" t="s">
        <v>333</v>
      </c>
      <c r="B2" s="365"/>
      <c r="C2" s="365"/>
      <c r="D2" s="365"/>
      <c r="E2" s="365"/>
      <c r="F2" s="365"/>
      <c r="G2" s="365"/>
      <c r="H2" s="365"/>
      <c r="I2" s="365"/>
      <c r="J2" s="365"/>
      <c r="K2" s="365"/>
      <c r="L2" s="365"/>
      <c r="M2" s="365"/>
      <c r="N2" s="365"/>
      <c r="O2" s="365"/>
      <c r="P2" s="365"/>
      <c r="Q2" s="365"/>
      <c r="R2" s="365"/>
      <c r="S2" s="365"/>
      <c r="T2" s="365"/>
      <c r="U2" s="143"/>
    </row>
    <row r="3" spans="1:21" ht="15.75">
      <c r="A3" s="165" t="str">
        <f>PL15!A3</f>
        <v>(Kèm theo Nghị quyết số       /NQ-HĐND ngày       tháng 12 năm 2022 của HĐND huyện Tuần Giáo)</v>
      </c>
      <c r="B3" s="99"/>
      <c r="C3" s="101"/>
      <c r="D3" s="101"/>
      <c r="E3" s="101"/>
      <c r="F3" s="101"/>
      <c r="G3" s="101"/>
      <c r="H3" s="101"/>
      <c r="I3" s="101"/>
      <c r="J3" s="101"/>
      <c r="K3" s="101"/>
      <c r="L3" s="101"/>
      <c r="M3" s="101"/>
      <c r="N3" s="101"/>
      <c r="O3" s="101"/>
      <c r="P3" s="101"/>
      <c r="Q3" s="101"/>
      <c r="R3" s="101"/>
      <c r="S3" s="101"/>
      <c r="T3" s="101"/>
      <c r="U3" s="101"/>
    </row>
    <row r="4" spans="1:21" s="32" customFormat="1" ht="15">
      <c r="A4" s="147"/>
      <c r="B4" s="147"/>
      <c r="F4" s="148"/>
      <c r="G4" s="410"/>
      <c r="H4" s="410"/>
      <c r="I4" s="410"/>
      <c r="J4" s="148"/>
      <c r="K4" s="410"/>
      <c r="L4" s="410"/>
      <c r="M4" s="410"/>
      <c r="N4" s="148"/>
      <c r="Q4" s="210"/>
      <c r="R4" s="210"/>
      <c r="S4" s="210"/>
      <c r="T4" s="211" t="s">
        <v>92</v>
      </c>
      <c r="U4" s="210"/>
    </row>
    <row r="5" spans="1:21" s="32" customFormat="1" ht="18" customHeight="1">
      <c r="A5" s="395" t="s">
        <v>62</v>
      </c>
      <c r="B5" s="396" t="s">
        <v>32</v>
      </c>
      <c r="C5" s="395" t="s">
        <v>237</v>
      </c>
      <c r="D5" s="396" t="s">
        <v>47</v>
      </c>
      <c r="E5" s="396"/>
      <c r="F5" s="396"/>
      <c r="G5" s="396"/>
      <c r="H5" s="396"/>
      <c r="I5" s="396"/>
      <c r="J5" s="396"/>
      <c r="K5" s="396"/>
      <c r="L5" s="396"/>
      <c r="M5" s="396"/>
      <c r="N5" s="396"/>
      <c r="O5" s="396"/>
      <c r="P5" s="396"/>
      <c r="Q5" s="395" t="s">
        <v>64</v>
      </c>
      <c r="R5" s="395"/>
      <c r="S5" s="395"/>
      <c r="T5" s="395"/>
      <c r="U5" s="395" t="s">
        <v>68</v>
      </c>
    </row>
    <row r="6" spans="1:21" s="32" customFormat="1" ht="7.5" customHeight="1">
      <c r="A6" s="395"/>
      <c r="B6" s="396"/>
      <c r="C6" s="395"/>
      <c r="D6" s="396"/>
      <c r="E6" s="396"/>
      <c r="F6" s="396"/>
      <c r="G6" s="396"/>
      <c r="H6" s="396"/>
      <c r="I6" s="396"/>
      <c r="J6" s="396"/>
      <c r="K6" s="396"/>
      <c r="L6" s="396"/>
      <c r="M6" s="396"/>
      <c r="N6" s="396"/>
      <c r="O6" s="396"/>
      <c r="P6" s="396"/>
      <c r="Q6" s="395"/>
      <c r="R6" s="395"/>
      <c r="S6" s="395"/>
      <c r="T6" s="395"/>
      <c r="U6" s="395"/>
    </row>
    <row r="7" spans="1:21" s="32" customFormat="1" ht="27" customHeight="1">
      <c r="A7" s="395"/>
      <c r="B7" s="396"/>
      <c r="C7" s="395"/>
      <c r="D7" s="395" t="s">
        <v>70</v>
      </c>
      <c r="E7" s="396" t="s">
        <v>25</v>
      </c>
      <c r="F7" s="396"/>
      <c r="G7" s="396"/>
      <c r="H7" s="396"/>
      <c r="I7" s="396"/>
      <c r="J7" s="396"/>
      <c r="K7" s="396" t="s">
        <v>27</v>
      </c>
      <c r="L7" s="396"/>
      <c r="M7" s="396"/>
      <c r="N7" s="395" t="s">
        <v>29</v>
      </c>
      <c r="O7" s="395" t="s">
        <v>30</v>
      </c>
      <c r="P7" s="395" t="s">
        <v>77</v>
      </c>
      <c r="Q7" s="395" t="s">
        <v>81</v>
      </c>
      <c r="R7" s="395" t="s">
        <v>134</v>
      </c>
      <c r="S7" s="395" t="s">
        <v>245</v>
      </c>
      <c r="T7" s="395" t="s">
        <v>135</v>
      </c>
      <c r="U7" s="395"/>
    </row>
    <row r="8" spans="1:21" s="32" customFormat="1" ht="18.75" customHeight="1">
      <c r="A8" s="395"/>
      <c r="B8" s="396"/>
      <c r="C8" s="395"/>
      <c r="D8" s="395"/>
      <c r="E8" s="395" t="s">
        <v>81</v>
      </c>
      <c r="F8" s="396" t="s">
        <v>33</v>
      </c>
      <c r="G8" s="396"/>
      <c r="H8" s="395" t="s">
        <v>127</v>
      </c>
      <c r="I8" s="395" t="s">
        <v>381</v>
      </c>
      <c r="J8" s="395" t="s">
        <v>26</v>
      </c>
      <c r="K8" s="395" t="s">
        <v>81</v>
      </c>
      <c r="L8" s="396" t="s">
        <v>33</v>
      </c>
      <c r="M8" s="396"/>
      <c r="N8" s="395"/>
      <c r="O8" s="395"/>
      <c r="P8" s="395"/>
      <c r="Q8" s="395"/>
      <c r="R8" s="395"/>
      <c r="S8" s="395"/>
      <c r="T8" s="395"/>
      <c r="U8" s="395"/>
    </row>
    <row r="9" spans="1:21" s="32" customFormat="1" ht="17.25" customHeight="1">
      <c r="A9" s="395"/>
      <c r="B9" s="396"/>
      <c r="C9" s="395"/>
      <c r="D9" s="395"/>
      <c r="E9" s="395"/>
      <c r="F9" s="411" t="s">
        <v>100</v>
      </c>
      <c r="G9" s="411" t="s">
        <v>89</v>
      </c>
      <c r="H9" s="395"/>
      <c r="I9" s="395"/>
      <c r="J9" s="395"/>
      <c r="K9" s="395"/>
      <c r="L9" s="411" t="s">
        <v>100</v>
      </c>
      <c r="M9" s="411" t="s">
        <v>89</v>
      </c>
      <c r="N9" s="395"/>
      <c r="O9" s="395"/>
      <c r="P9" s="395"/>
      <c r="Q9" s="395"/>
      <c r="R9" s="395"/>
      <c r="S9" s="395"/>
      <c r="T9" s="395"/>
      <c r="U9" s="395"/>
    </row>
    <row r="10" spans="1:21" s="32" customFormat="1" ht="17.25" customHeight="1">
      <c r="A10" s="395"/>
      <c r="B10" s="396"/>
      <c r="C10" s="395"/>
      <c r="D10" s="395"/>
      <c r="E10" s="395"/>
      <c r="F10" s="411"/>
      <c r="G10" s="411"/>
      <c r="H10" s="395"/>
      <c r="I10" s="395"/>
      <c r="J10" s="395"/>
      <c r="K10" s="395"/>
      <c r="L10" s="411"/>
      <c r="M10" s="411"/>
      <c r="N10" s="395"/>
      <c r="O10" s="395"/>
      <c r="P10" s="395"/>
      <c r="Q10" s="395"/>
      <c r="R10" s="395"/>
      <c r="S10" s="395"/>
      <c r="T10" s="395"/>
      <c r="U10" s="395"/>
    </row>
    <row r="11" spans="1:21" s="32" customFormat="1" ht="17.25" customHeight="1">
      <c r="A11" s="395"/>
      <c r="B11" s="396"/>
      <c r="C11" s="395"/>
      <c r="D11" s="395"/>
      <c r="E11" s="395"/>
      <c r="F11" s="411"/>
      <c r="G11" s="411"/>
      <c r="H11" s="395"/>
      <c r="I11" s="395"/>
      <c r="J11" s="395"/>
      <c r="K11" s="395"/>
      <c r="L11" s="411"/>
      <c r="M11" s="411"/>
      <c r="N11" s="395"/>
      <c r="O11" s="395"/>
      <c r="P11" s="395"/>
      <c r="Q11" s="395"/>
      <c r="R11" s="395"/>
      <c r="S11" s="395"/>
      <c r="T11" s="395"/>
      <c r="U11" s="395"/>
    </row>
    <row r="12" spans="1:21" s="32" customFormat="1" ht="17.25" customHeight="1">
      <c r="A12" s="395"/>
      <c r="B12" s="396"/>
      <c r="C12" s="395"/>
      <c r="D12" s="395"/>
      <c r="E12" s="395"/>
      <c r="F12" s="411"/>
      <c r="G12" s="411"/>
      <c r="H12" s="395"/>
      <c r="I12" s="395"/>
      <c r="J12" s="395"/>
      <c r="K12" s="395"/>
      <c r="L12" s="411"/>
      <c r="M12" s="411"/>
      <c r="N12" s="395"/>
      <c r="O12" s="395"/>
      <c r="P12" s="395"/>
      <c r="Q12" s="395"/>
      <c r="R12" s="395"/>
      <c r="S12" s="395"/>
      <c r="T12" s="395"/>
      <c r="U12" s="395"/>
    </row>
    <row r="13" spans="1:21" s="32" customFormat="1" ht="17.25" customHeight="1">
      <c r="A13" s="395"/>
      <c r="B13" s="396"/>
      <c r="C13" s="395"/>
      <c r="D13" s="395"/>
      <c r="E13" s="395"/>
      <c r="F13" s="411"/>
      <c r="G13" s="411"/>
      <c r="H13" s="395"/>
      <c r="I13" s="395"/>
      <c r="J13" s="395"/>
      <c r="K13" s="395"/>
      <c r="L13" s="411"/>
      <c r="M13" s="411"/>
      <c r="N13" s="395"/>
      <c r="O13" s="395"/>
      <c r="P13" s="395"/>
      <c r="Q13" s="395"/>
      <c r="R13" s="395"/>
      <c r="S13" s="395"/>
      <c r="T13" s="395"/>
      <c r="U13" s="395"/>
    </row>
    <row r="14" spans="1:21" s="32" customFormat="1" ht="17.25" customHeight="1">
      <c r="A14" s="395"/>
      <c r="B14" s="396"/>
      <c r="C14" s="395"/>
      <c r="D14" s="395"/>
      <c r="E14" s="395"/>
      <c r="F14" s="411"/>
      <c r="G14" s="411"/>
      <c r="H14" s="395"/>
      <c r="I14" s="395"/>
      <c r="J14" s="395"/>
      <c r="K14" s="395"/>
      <c r="L14" s="411"/>
      <c r="M14" s="411"/>
      <c r="N14" s="395"/>
      <c r="O14" s="395"/>
      <c r="P14" s="395"/>
      <c r="Q14" s="395"/>
      <c r="R14" s="395"/>
      <c r="S14" s="395"/>
      <c r="T14" s="395"/>
      <c r="U14" s="395"/>
    </row>
    <row r="15" spans="1:21" s="32" customFormat="1" ht="17.25" customHeight="1">
      <c r="A15" s="395"/>
      <c r="B15" s="396"/>
      <c r="C15" s="395"/>
      <c r="D15" s="395"/>
      <c r="E15" s="395"/>
      <c r="F15" s="411"/>
      <c r="G15" s="411"/>
      <c r="H15" s="395"/>
      <c r="I15" s="395"/>
      <c r="J15" s="395"/>
      <c r="K15" s="395"/>
      <c r="L15" s="411"/>
      <c r="M15" s="411"/>
      <c r="N15" s="395"/>
      <c r="O15" s="395"/>
      <c r="P15" s="395"/>
      <c r="Q15" s="395"/>
      <c r="R15" s="395"/>
      <c r="S15" s="395"/>
      <c r="T15" s="395"/>
      <c r="U15" s="395"/>
    </row>
    <row r="16" spans="1:21" s="32" customFormat="1" ht="17.25" customHeight="1">
      <c r="A16" s="31" t="s">
        <v>10</v>
      </c>
      <c r="B16" s="31" t="s">
        <v>11</v>
      </c>
      <c r="C16" s="83" t="s">
        <v>247</v>
      </c>
      <c r="D16" s="84" t="s">
        <v>137</v>
      </c>
      <c r="E16" s="85" t="s">
        <v>136</v>
      </c>
      <c r="F16" s="31">
        <v>4</v>
      </c>
      <c r="G16" s="31">
        <f aca="true" t="shared" si="0" ref="G16:U16">F16+1</f>
        <v>5</v>
      </c>
      <c r="H16" s="31">
        <f t="shared" si="0"/>
        <v>6</v>
      </c>
      <c r="I16" s="31">
        <f t="shared" si="0"/>
        <v>7</v>
      </c>
      <c r="J16" s="31">
        <f t="shared" si="0"/>
        <v>8</v>
      </c>
      <c r="K16" s="31">
        <f t="shared" si="0"/>
        <v>9</v>
      </c>
      <c r="L16" s="31">
        <f t="shared" si="0"/>
        <v>10</v>
      </c>
      <c r="M16" s="31">
        <f t="shared" si="0"/>
        <v>11</v>
      </c>
      <c r="N16" s="31">
        <f t="shared" si="0"/>
        <v>12</v>
      </c>
      <c r="O16" s="31">
        <f>N16+1</f>
        <v>13</v>
      </c>
      <c r="P16" s="31">
        <f t="shared" si="0"/>
        <v>14</v>
      </c>
      <c r="Q16" s="83" t="s">
        <v>138</v>
      </c>
      <c r="R16" s="31">
        <v>16</v>
      </c>
      <c r="S16" s="31">
        <f>R16+1</f>
        <v>17</v>
      </c>
      <c r="T16" s="31">
        <f t="shared" si="0"/>
        <v>18</v>
      </c>
      <c r="U16" s="31">
        <f t="shared" si="0"/>
        <v>19</v>
      </c>
    </row>
    <row r="17" spans="1:21" s="104" customFormat="1" ht="24" customHeight="1">
      <c r="A17" s="93"/>
      <c r="B17" s="149" t="s">
        <v>31</v>
      </c>
      <c r="C17" s="212">
        <f>D17+Q17+U17</f>
        <v>147721</v>
      </c>
      <c r="D17" s="212">
        <f>SUM(D18:D36)</f>
        <v>92871</v>
      </c>
      <c r="E17" s="212">
        <f>SUM(E18:E36)</f>
        <v>2700</v>
      </c>
      <c r="F17" s="212">
        <f aca="true" t="shared" si="1" ref="F17:P17">SUM(F18:F36)</f>
        <v>0</v>
      </c>
      <c r="G17" s="212">
        <f t="shared" si="1"/>
        <v>0</v>
      </c>
      <c r="H17" s="212">
        <f t="shared" si="1"/>
        <v>0</v>
      </c>
      <c r="I17" s="212">
        <f t="shared" si="1"/>
        <v>0</v>
      </c>
      <c r="J17" s="212">
        <f>SUM(J18:J36)</f>
        <v>2700</v>
      </c>
      <c r="K17" s="212">
        <f>SUM(K18:K36)</f>
        <v>88312</v>
      </c>
      <c r="L17" s="212">
        <f t="shared" si="1"/>
        <v>0</v>
      </c>
      <c r="M17" s="212">
        <f t="shared" si="1"/>
        <v>0</v>
      </c>
      <c r="N17" s="212">
        <f t="shared" si="1"/>
        <v>0</v>
      </c>
      <c r="O17" s="212">
        <f>SUM(O18:O36)</f>
        <v>1859</v>
      </c>
      <c r="P17" s="212">
        <f t="shared" si="1"/>
        <v>1210</v>
      </c>
      <c r="Q17" s="212">
        <f>SUM(Q18:Q36)</f>
        <v>54850</v>
      </c>
      <c r="R17" s="212">
        <f>SUM(R18:R36)</f>
        <v>0</v>
      </c>
      <c r="S17" s="212">
        <f>SUM(S18:S36)</f>
        <v>3205</v>
      </c>
      <c r="T17" s="212">
        <f>SUM(T18:T36)</f>
        <v>51645</v>
      </c>
      <c r="U17" s="213">
        <f>SUM(U18:U36)</f>
        <v>0</v>
      </c>
    </row>
    <row r="18" spans="1:21" s="104" customFormat="1" ht="21" customHeight="1">
      <c r="A18" s="191">
        <v>1</v>
      </c>
      <c r="B18" s="150" t="s">
        <v>313</v>
      </c>
      <c r="C18" s="214">
        <f>D18+Q18+U18</f>
        <v>9218</v>
      </c>
      <c r="D18" s="214">
        <f>+E18+K18+N18+O18</f>
        <v>6177</v>
      </c>
      <c r="E18" s="214">
        <f>H18+I18+J18</f>
        <v>0</v>
      </c>
      <c r="F18" s="214"/>
      <c r="G18" s="214"/>
      <c r="H18" s="214"/>
      <c r="I18" s="214"/>
      <c r="J18" s="214"/>
      <c r="K18" s="214">
        <v>6053</v>
      </c>
      <c r="L18" s="214"/>
      <c r="M18" s="214"/>
      <c r="N18" s="214"/>
      <c r="O18" s="214">
        <v>124</v>
      </c>
      <c r="P18" s="214">
        <v>62</v>
      </c>
      <c r="Q18" s="214">
        <f>+R18+S18+T18</f>
        <v>3041</v>
      </c>
      <c r="R18" s="214"/>
      <c r="S18" s="214">
        <v>257</v>
      </c>
      <c r="T18" s="214">
        <v>2784</v>
      </c>
      <c r="U18" s="215"/>
    </row>
    <row r="19" spans="1:21" s="104" customFormat="1" ht="21" customHeight="1">
      <c r="A19" s="191">
        <v>2</v>
      </c>
      <c r="B19" s="150" t="s">
        <v>314</v>
      </c>
      <c r="C19" s="214">
        <f aca="true" t="shared" si="2" ref="C19:C36">D19+Q19+U19</f>
        <v>7656</v>
      </c>
      <c r="D19" s="214">
        <f aca="true" t="shared" si="3" ref="D19:D36">+E19+K19+N19+O19</f>
        <v>4445</v>
      </c>
      <c r="E19" s="214">
        <f aca="true" t="shared" si="4" ref="E19:E36">H19+I19+J19</f>
        <v>0</v>
      </c>
      <c r="F19" s="214"/>
      <c r="G19" s="214"/>
      <c r="H19" s="214"/>
      <c r="I19" s="214"/>
      <c r="J19" s="214"/>
      <c r="K19" s="214">
        <v>4356</v>
      </c>
      <c r="L19" s="214"/>
      <c r="M19" s="214"/>
      <c r="N19" s="214"/>
      <c r="O19" s="214">
        <v>89</v>
      </c>
      <c r="P19" s="214">
        <v>61</v>
      </c>
      <c r="Q19" s="214">
        <f>+R19+S19+T19</f>
        <v>3211</v>
      </c>
      <c r="R19" s="214"/>
      <c r="S19" s="214">
        <v>395</v>
      </c>
      <c r="T19" s="214">
        <v>2816</v>
      </c>
      <c r="U19" s="215"/>
    </row>
    <row r="20" spans="1:21" s="104" customFormat="1" ht="21" customHeight="1">
      <c r="A20" s="191">
        <v>3</v>
      </c>
      <c r="B20" s="150" t="s">
        <v>315</v>
      </c>
      <c r="C20" s="214">
        <f t="shared" si="2"/>
        <v>7291</v>
      </c>
      <c r="D20" s="214">
        <f t="shared" si="3"/>
        <v>4405</v>
      </c>
      <c r="E20" s="214">
        <f t="shared" si="4"/>
        <v>0</v>
      </c>
      <c r="F20" s="214"/>
      <c r="G20" s="214"/>
      <c r="H20" s="214"/>
      <c r="I20" s="214"/>
      <c r="J20" s="214"/>
      <c r="K20" s="214">
        <v>4317</v>
      </c>
      <c r="L20" s="214"/>
      <c r="M20" s="214"/>
      <c r="N20" s="214"/>
      <c r="O20" s="214">
        <v>88</v>
      </c>
      <c r="P20" s="214">
        <v>61</v>
      </c>
      <c r="Q20" s="214">
        <f aca="true" t="shared" si="5" ref="Q20:Q36">+R20+S20+T20</f>
        <v>2886</v>
      </c>
      <c r="R20" s="214"/>
      <c r="S20" s="214">
        <v>62</v>
      </c>
      <c r="T20" s="214">
        <v>2824</v>
      </c>
      <c r="U20" s="215"/>
    </row>
    <row r="21" spans="1:21" s="104" customFormat="1" ht="21" customHeight="1">
      <c r="A21" s="191">
        <v>4</v>
      </c>
      <c r="B21" s="150" t="s">
        <v>316</v>
      </c>
      <c r="C21" s="214">
        <f t="shared" si="2"/>
        <v>8512</v>
      </c>
      <c r="D21" s="214">
        <f t="shared" si="3"/>
        <v>5407</v>
      </c>
      <c r="E21" s="214">
        <f t="shared" si="4"/>
        <v>0</v>
      </c>
      <c r="F21" s="214"/>
      <c r="G21" s="214"/>
      <c r="H21" s="214"/>
      <c r="I21" s="214"/>
      <c r="J21" s="214"/>
      <c r="K21" s="214">
        <v>5299</v>
      </c>
      <c r="L21" s="214"/>
      <c r="M21" s="214"/>
      <c r="N21" s="214"/>
      <c r="O21" s="214">
        <v>108</v>
      </c>
      <c r="P21" s="214">
        <v>62</v>
      </c>
      <c r="Q21" s="214">
        <f t="shared" si="5"/>
        <v>3105</v>
      </c>
      <c r="R21" s="214"/>
      <c r="S21" s="214">
        <v>255</v>
      </c>
      <c r="T21" s="214">
        <v>2850</v>
      </c>
      <c r="U21" s="215"/>
    </row>
    <row r="22" spans="1:21" ht="21" customHeight="1">
      <c r="A22" s="191">
        <v>5</v>
      </c>
      <c r="B22" s="150" t="s">
        <v>317</v>
      </c>
      <c r="C22" s="214">
        <f t="shared" si="2"/>
        <v>7515</v>
      </c>
      <c r="D22" s="214">
        <f t="shared" si="3"/>
        <v>4599</v>
      </c>
      <c r="E22" s="214">
        <f t="shared" si="4"/>
        <v>0</v>
      </c>
      <c r="F22" s="214"/>
      <c r="G22" s="214"/>
      <c r="H22" s="214"/>
      <c r="I22" s="214"/>
      <c r="J22" s="214"/>
      <c r="K22" s="214">
        <v>4507</v>
      </c>
      <c r="L22" s="214"/>
      <c r="M22" s="214"/>
      <c r="N22" s="214"/>
      <c r="O22" s="214">
        <v>92</v>
      </c>
      <c r="P22" s="214">
        <v>66</v>
      </c>
      <c r="Q22" s="214">
        <f t="shared" si="5"/>
        <v>2916</v>
      </c>
      <c r="R22" s="214"/>
      <c r="S22" s="214"/>
      <c r="T22" s="214">
        <v>2916</v>
      </c>
      <c r="U22" s="215"/>
    </row>
    <row r="23" spans="1:21" ht="21" customHeight="1">
      <c r="A23" s="191">
        <v>6</v>
      </c>
      <c r="B23" s="150" t="s">
        <v>222</v>
      </c>
      <c r="C23" s="214">
        <f t="shared" si="2"/>
        <v>7718</v>
      </c>
      <c r="D23" s="214">
        <f t="shared" si="3"/>
        <v>7718</v>
      </c>
      <c r="E23" s="214">
        <f t="shared" si="4"/>
        <v>2700</v>
      </c>
      <c r="F23" s="214"/>
      <c r="G23" s="214"/>
      <c r="H23" s="214"/>
      <c r="I23" s="214"/>
      <c r="J23" s="214">
        <v>2700</v>
      </c>
      <c r="K23" s="214">
        <v>4864</v>
      </c>
      <c r="L23" s="214"/>
      <c r="M23" s="214"/>
      <c r="N23" s="214"/>
      <c r="O23" s="214">
        <v>154</v>
      </c>
      <c r="P23" s="214">
        <v>58</v>
      </c>
      <c r="Q23" s="214">
        <f t="shared" si="5"/>
        <v>0</v>
      </c>
      <c r="R23" s="214"/>
      <c r="S23" s="214"/>
      <c r="T23" s="214"/>
      <c r="U23" s="215"/>
    </row>
    <row r="24" spans="1:21" ht="21" customHeight="1">
      <c r="A24" s="191">
        <v>7</v>
      </c>
      <c r="B24" s="150" t="s">
        <v>318</v>
      </c>
      <c r="C24" s="214">
        <f t="shared" si="2"/>
        <v>8428</v>
      </c>
      <c r="D24" s="214">
        <f t="shared" si="3"/>
        <v>5155</v>
      </c>
      <c r="E24" s="214">
        <f t="shared" si="4"/>
        <v>0</v>
      </c>
      <c r="F24" s="214"/>
      <c r="G24" s="214"/>
      <c r="H24" s="214"/>
      <c r="I24" s="214"/>
      <c r="J24" s="214"/>
      <c r="K24" s="214">
        <v>5052</v>
      </c>
      <c r="L24" s="214"/>
      <c r="M24" s="214"/>
      <c r="N24" s="214"/>
      <c r="O24" s="214">
        <v>103</v>
      </c>
      <c r="P24" s="214">
        <v>68</v>
      </c>
      <c r="Q24" s="214">
        <f t="shared" si="5"/>
        <v>3273</v>
      </c>
      <c r="R24" s="214"/>
      <c r="S24" s="214">
        <v>419</v>
      </c>
      <c r="T24" s="214">
        <v>2854</v>
      </c>
      <c r="U24" s="215"/>
    </row>
    <row r="25" spans="1:21" ht="21" customHeight="1">
      <c r="A25" s="191">
        <v>8</v>
      </c>
      <c r="B25" s="150" t="s">
        <v>319</v>
      </c>
      <c r="C25" s="214">
        <f t="shared" si="2"/>
        <v>8195</v>
      </c>
      <c r="D25" s="214">
        <f t="shared" si="3"/>
        <v>5159</v>
      </c>
      <c r="E25" s="214">
        <f t="shared" si="4"/>
        <v>0</v>
      </c>
      <c r="F25" s="214"/>
      <c r="G25" s="214"/>
      <c r="H25" s="214"/>
      <c r="I25" s="214"/>
      <c r="J25" s="214"/>
      <c r="K25" s="214">
        <v>5056</v>
      </c>
      <c r="L25" s="214"/>
      <c r="M25" s="214"/>
      <c r="N25" s="214"/>
      <c r="O25" s="214">
        <v>103</v>
      </c>
      <c r="P25" s="214">
        <v>68</v>
      </c>
      <c r="Q25" s="214">
        <f t="shared" si="5"/>
        <v>3036</v>
      </c>
      <c r="R25" s="214"/>
      <c r="S25" s="214">
        <v>37</v>
      </c>
      <c r="T25" s="214">
        <v>2999</v>
      </c>
      <c r="U25" s="215"/>
    </row>
    <row r="26" spans="1:21" ht="21" customHeight="1">
      <c r="A26" s="191">
        <v>9</v>
      </c>
      <c r="B26" s="150" t="s">
        <v>320</v>
      </c>
      <c r="C26" s="214">
        <f t="shared" si="2"/>
        <v>7936</v>
      </c>
      <c r="D26" s="214">
        <f t="shared" si="3"/>
        <v>4843</v>
      </c>
      <c r="E26" s="214">
        <f t="shared" si="4"/>
        <v>0</v>
      </c>
      <c r="F26" s="214"/>
      <c r="G26" s="214"/>
      <c r="H26" s="214"/>
      <c r="I26" s="214"/>
      <c r="J26" s="214"/>
      <c r="K26" s="214">
        <v>4746</v>
      </c>
      <c r="L26" s="214"/>
      <c r="M26" s="214"/>
      <c r="N26" s="214"/>
      <c r="O26" s="214">
        <v>97</v>
      </c>
      <c r="P26" s="214">
        <v>62</v>
      </c>
      <c r="Q26" s="214">
        <f t="shared" si="5"/>
        <v>3093</v>
      </c>
      <c r="R26" s="214"/>
      <c r="S26" s="214">
        <v>196</v>
      </c>
      <c r="T26" s="214">
        <v>2897</v>
      </c>
      <c r="U26" s="215"/>
    </row>
    <row r="27" spans="1:21" ht="21" customHeight="1">
      <c r="A27" s="191">
        <v>10</v>
      </c>
      <c r="B27" s="150" t="s">
        <v>321</v>
      </c>
      <c r="C27" s="214">
        <f t="shared" si="2"/>
        <v>7819</v>
      </c>
      <c r="D27" s="214">
        <f t="shared" si="3"/>
        <v>4484</v>
      </c>
      <c r="E27" s="214">
        <f t="shared" si="4"/>
        <v>0</v>
      </c>
      <c r="F27" s="214"/>
      <c r="G27" s="214"/>
      <c r="H27" s="214"/>
      <c r="I27" s="214"/>
      <c r="J27" s="214"/>
      <c r="K27" s="214">
        <v>4394</v>
      </c>
      <c r="L27" s="214"/>
      <c r="M27" s="214"/>
      <c r="N27" s="214"/>
      <c r="O27" s="214">
        <v>90</v>
      </c>
      <c r="P27" s="214">
        <v>66</v>
      </c>
      <c r="Q27" s="214">
        <f t="shared" si="5"/>
        <v>3335</v>
      </c>
      <c r="R27" s="214"/>
      <c r="S27" s="214">
        <v>499</v>
      </c>
      <c r="T27" s="214">
        <v>2836</v>
      </c>
      <c r="U27" s="215"/>
    </row>
    <row r="28" spans="1:21" ht="21" customHeight="1">
      <c r="A28" s="191">
        <v>11</v>
      </c>
      <c r="B28" s="150" t="s">
        <v>322</v>
      </c>
      <c r="C28" s="214">
        <f t="shared" si="2"/>
        <v>7294</v>
      </c>
      <c r="D28" s="214">
        <f t="shared" si="3"/>
        <v>4373</v>
      </c>
      <c r="E28" s="214">
        <f t="shared" si="4"/>
        <v>0</v>
      </c>
      <c r="F28" s="214"/>
      <c r="G28" s="214"/>
      <c r="H28" s="214"/>
      <c r="I28" s="214"/>
      <c r="J28" s="214"/>
      <c r="K28" s="214">
        <v>4286</v>
      </c>
      <c r="L28" s="214"/>
      <c r="M28" s="214"/>
      <c r="N28" s="214"/>
      <c r="O28" s="214">
        <v>87</v>
      </c>
      <c r="P28" s="214">
        <v>67</v>
      </c>
      <c r="Q28" s="214">
        <f t="shared" si="5"/>
        <v>2921</v>
      </c>
      <c r="R28" s="214"/>
      <c r="S28" s="214"/>
      <c r="T28" s="214">
        <v>2921</v>
      </c>
      <c r="U28" s="215"/>
    </row>
    <row r="29" spans="1:21" ht="21" customHeight="1">
      <c r="A29" s="191">
        <v>12</v>
      </c>
      <c r="B29" s="150" t="s">
        <v>323</v>
      </c>
      <c r="C29" s="214">
        <f t="shared" si="2"/>
        <v>7245</v>
      </c>
      <c r="D29" s="214">
        <f t="shared" si="3"/>
        <v>4230</v>
      </c>
      <c r="E29" s="214">
        <f t="shared" si="4"/>
        <v>0</v>
      </c>
      <c r="F29" s="214"/>
      <c r="G29" s="214"/>
      <c r="H29" s="214"/>
      <c r="I29" s="214"/>
      <c r="J29" s="214"/>
      <c r="K29" s="214">
        <v>4145</v>
      </c>
      <c r="L29" s="214"/>
      <c r="M29" s="214"/>
      <c r="N29" s="214"/>
      <c r="O29" s="214">
        <v>85</v>
      </c>
      <c r="P29" s="214">
        <v>67</v>
      </c>
      <c r="Q29" s="214">
        <f t="shared" si="5"/>
        <v>3015</v>
      </c>
      <c r="R29" s="214"/>
      <c r="S29" s="214">
        <v>73</v>
      </c>
      <c r="T29" s="214">
        <v>2942</v>
      </c>
      <c r="U29" s="215"/>
    </row>
    <row r="30" spans="1:21" ht="21" customHeight="1">
      <c r="A30" s="191">
        <v>13</v>
      </c>
      <c r="B30" s="150" t="s">
        <v>324</v>
      </c>
      <c r="C30" s="214">
        <f t="shared" si="2"/>
        <v>7352</v>
      </c>
      <c r="D30" s="214">
        <f t="shared" si="3"/>
        <v>4489</v>
      </c>
      <c r="E30" s="214">
        <f t="shared" si="4"/>
        <v>0</v>
      </c>
      <c r="F30" s="214"/>
      <c r="G30" s="214"/>
      <c r="H30" s="214"/>
      <c r="I30" s="214"/>
      <c r="J30" s="214"/>
      <c r="K30" s="214">
        <v>4399</v>
      </c>
      <c r="L30" s="214"/>
      <c r="M30" s="214"/>
      <c r="N30" s="214"/>
      <c r="O30" s="214">
        <v>90</v>
      </c>
      <c r="P30" s="214">
        <v>68</v>
      </c>
      <c r="Q30" s="214">
        <f t="shared" si="5"/>
        <v>2863</v>
      </c>
      <c r="R30" s="214"/>
      <c r="S30" s="214">
        <v>36</v>
      </c>
      <c r="T30" s="214">
        <v>2827</v>
      </c>
      <c r="U30" s="215"/>
    </row>
    <row r="31" spans="1:21" ht="21" customHeight="1">
      <c r="A31" s="191">
        <v>14</v>
      </c>
      <c r="B31" s="150" t="s">
        <v>325</v>
      </c>
      <c r="C31" s="214">
        <f t="shared" si="2"/>
        <v>7425</v>
      </c>
      <c r="D31" s="214">
        <f t="shared" si="3"/>
        <v>4478</v>
      </c>
      <c r="E31" s="214">
        <f t="shared" si="4"/>
        <v>0</v>
      </c>
      <c r="F31" s="214"/>
      <c r="G31" s="214"/>
      <c r="H31" s="214"/>
      <c r="I31" s="214"/>
      <c r="J31" s="214"/>
      <c r="K31" s="214">
        <v>4388</v>
      </c>
      <c r="L31" s="214"/>
      <c r="M31" s="214"/>
      <c r="N31" s="214"/>
      <c r="O31" s="214">
        <v>90</v>
      </c>
      <c r="P31" s="214">
        <v>61</v>
      </c>
      <c r="Q31" s="214">
        <f t="shared" si="5"/>
        <v>2947</v>
      </c>
      <c r="R31" s="214"/>
      <c r="S31" s="214">
        <v>153</v>
      </c>
      <c r="T31" s="214">
        <v>2794</v>
      </c>
      <c r="U31" s="215"/>
    </row>
    <row r="32" spans="1:21" ht="21" customHeight="1">
      <c r="A32" s="191">
        <v>15</v>
      </c>
      <c r="B32" s="150" t="s">
        <v>326</v>
      </c>
      <c r="C32" s="214">
        <f t="shared" si="2"/>
        <v>7830</v>
      </c>
      <c r="D32" s="214">
        <f t="shared" si="3"/>
        <v>4745</v>
      </c>
      <c r="E32" s="214">
        <f t="shared" si="4"/>
        <v>0</v>
      </c>
      <c r="F32" s="214"/>
      <c r="G32" s="214"/>
      <c r="H32" s="214"/>
      <c r="I32" s="214"/>
      <c r="J32" s="214"/>
      <c r="K32" s="214">
        <v>4650</v>
      </c>
      <c r="L32" s="214"/>
      <c r="M32" s="214"/>
      <c r="N32" s="214"/>
      <c r="O32" s="214">
        <v>95</v>
      </c>
      <c r="P32" s="214">
        <v>72</v>
      </c>
      <c r="Q32" s="214">
        <f t="shared" si="5"/>
        <v>3085</v>
      </c>
      <c r="R32" s="214"/>
      <c r="S32" s="214">
        <v>49</v>
      </c>
      <c r="T32" s="214">
        <v>3036</v>
      </c>
      <c r="U32" s="215"/>
    </row>
    <row r="33" spans="1:21" ht="21" customHeight="1">
      <c r="A33" s="191">
        <v>16</v>
      </c>
      <c r="B33" s="150" t="s">
        <v>327</v>
      </c>
      <c r="C33" s="214">
        <f t="shared" si="2"/>
        <v>7081</v>
      </c>
      <c r="D33" s="214">
        <f t="shared" si="3"/>
        <v>3978</v>
      </c>
      <c r="E33" s="214">
        <f t="shared" si="4"/>
        <v>0</v>
      </c>
      <c r="F33" s="214"/>
      <c r="G33" s="214"/>
      <c r="H33" s="214"/>
      <c r="I33" s="214"/>
      <c r="J33" s="214"/>
      <c r="K33" s="214">
        <v>3898</v>
      </c>
      <c r="L33" s="214"/>
      <c r="M33" s="214"/>
      <c r="N33" s="214"/>
      <c r="O33" s="214">
        <v>80</v>
      </c>
      <c r="P33" s="214">
        <v>59</v>
      </c>
      <c r="Q33" s="214">
        <f t="shared" si="5"/>
        <v>3103</v>
      </c>
      <c r="R33" s="214"/>
      <c r="S33" s="214">
        <v>168</v>
      </c>
      <c r="T33" s="214">
        <v>2935</v>
      </c>
      <c r="U33" s="215"/>
    </row>
    <row r="34" spans="1:21" ht="21" customHeight="1">
      <c r="A34" s="191">
        <v>17</v>
      </c>
      <c r="B34" s="150" t="s">
        <v>328</v>
      </c>
      <c r="C34" s="214">
        <f t="shared" si="2"/>
        <v>7425</v>
      </c>
      <c r="D34" s="214">
        <f t="shared" si="3"/>
        <v>4546</v>
      </c>
      <c r="E34" s="214">
        <f t="shared" si="4"/>
        <v>0</v>
      </c>
      <c r="F34" s="214"/>
      <c r="G34" s="214"/>
      <c r="H34" s="214"/>
      <c r="I34" s="214"/>
      <c r="J34" s="214"/>
      <c r="K34" s="214">
        <v>4455</v>
      </c>
      <c r="L34" s="214"/>
      <c r="M34" s="214"/>
      <c r="N34" s="214"/>
      <c r="O34" s="214">
        <v>91</v>
      </c>
      <c r="P34" s="214">
        <v>61</v>
      </c>
      <c r="Q34" s="214">
        <f t="shared" si="5"/>
        <v>2879</v>
      </c>
      <c r="R34" s="214"/>
      <c r="S34" s="214">
        <v>101</v>
      </c>
      <c r="T34" s="214">
        <v>2778</v>
      </c>
      <c r="U34" s="215"/>
    </row>
    <row r="35" spans="1:21" ht="21" customHeight="1">
      <c r="A35" s="191">
        <v>18</v>
      </c>
      <c r="B35" s="150" t="s">
        <v>329</v>
      </c>
      <c r="C35" s="214">
        <f t="shared" si="2"/>
        <v>8382</v>
      </c>
      <c r="D35" s="214">
        <f t="shared" si="3"/>
        <v>5227</v>
      </c>
      <c r="E35" s="214">
        <f t="shared" si="4"/>
        <v>0</v>
      </c>
      <c r="F35" s="214"/>
      <c r="G35" s="214"/>
      <c r="H35" s="214"/>
      <c r="I35" s="214"/>
      <c r="J35" s="214"/>
      <c r="K35" s="214">
        <v>5122</v>
      </c>
      <c r="L35" s="214"/>
      <c r="M35" s="214"/>
      <c r="N35" s="214"/>
      <c r="O35" s="214">
        <v>105</v>
      </c>
      <c r="P35" s="214">
        <v>62</v>
      </c>
      <c r="Q35" s="214">
        <f t="shared" si="5"/>
        <v>3155</v>
      </c>
      <c r="R35" s="214"/>
      <c r="S35" s="214">
        <v>302</v>
      </c>
      <c r="T35" s="214">
        <v>2853</v>
      </c>
      <c r="U35" s="215"/>
    </row>
    <row r="36" spans="1:21" ht="21" customHeight="1" thickBot="1">
      <c r="A36" s="479">
        <v>19</v>
      </c>
      <c r="B36" s="480" t="s">
        <v>330</v>
      </c>
      <c r="C36" s="481">
        <f t="shared" si="2"/>
        <v>7399</v>
      </c>
      <c r="D36" s="481">
        <f t="shared" si="3"/>
        <v>4413</v>
      </c>
      <c r="E36" s="481">
        <f t="shared" si="4"/>
        <v>0</v>
      </c>
      <c r="F36" s="481"/>
      <c r="G36" s="481"/>
      <c r="H36" s="481"/>
      <c r="I36" s="481"/>
      <c r="J36" s="481"/>
      <c r="K36" s="481">
        <v>4325</v>
      </c>
      <c r="L36" s="481"/>
      <c r="M36" s="481"/>
      <c r="N36" s="481"/>
      <c r="O36" s="481">
        <v>88</v>
      </c>
      <c r="P36" s="481">
        <v>59</v>
      </c>
      <c r="Q36" s="481">
        <f t="shared" si="5"/>
        <v>2986</v>
      </c>
      <c r="R36" s="481"/>
      <c r="S36" s="481">
        <v>203</v>
      </c>
      <c r="T36" s="481">
        <v>2783</v>
      </c>
      <c r="U36" s="216"/>
    </row>
    <row r="37" spans="1:21" ht="19.5" thickTop="1">
      <c r="A37" s="104"/>
      <c r="B37" s="104"/>
      <c r="C37" s="104"/>
      <c r="D37" s="104"/>
      <c r="E37" s="104"/>
      <c r="F37" s="104"/>
      <c r="G37" s="104"/>
      <c r="H37" s="104"/>
      <c r="I37" s="104"/>
      <c r="J37" s="104"/>
      <c r="K37" s="104"/>
      <c r="L37" s="104"/>
      <c r="M37" s="104"/>
      <c r="N37" s="104"/>
      <c r="O37" s="104"/>
      <c r="P37" s="104"/>
      <c r="Q37" s="104"/>
      <c r="R37" s="104"/>
      <c r="S37" s="104"/>
      <c r="T37" s="104"/>
      <c r="U37" s="104"/>
    </row>
    <row r="38" spans="1:21" ht="18.75">
      <c r="A38" s="104"/>
      <c r="B38" s="104"/>
      <c r="C38" s="104"/>
      <c r="D38" s="104"/>
      <c r="E38" s="104"/>
      <c r="F38" s="104"/>
      <c r="G38" s="104"/>
      <c r="H38" s="104"/>
      <c r="I38" s="104"/>
      <c r="J38" s="104"/>
      <c r="K38" s="104"/>
      <c r="L38" s="104"/>
      <c r="M38" s="104"/>
      <c r="N38" s="104"/>
      <c r="O38" s="104"/>
      <c r="P38" s="104"/>
      <c r="Q38" s="104"/>
      <c r="R38" s="104"/>
      <c r="S38" s="104"/>
      <c r="T38" s="104"/>
      <c r="U38" s="104"/>
    </row>
    <row r="39" spans="1:21" ht="18.75">
      <c r="A39" s="104"/>
      <c r="B39" s="104"/>
      <c r="C39" s="104"/>
      <c r="D39" s="104"/>
      <c r="E39" s="104"/>
      <c r="F39" s="104"/>
      <c r="G39" s="104"/>
      <c r="H39" s="104"/>
      <c r="I39" s="104"/>
      <c r="J39" s="104"/>
      <c r="K39" s="104"/>
      <c r="L39" s="104"/>
      <c r="M39" s="104"/>
      <c r="N39" s="104"/>
      <c r="O39" s="104"/>
      <c r="P39" s="104"/>
      <c r="Q39" s="104"/>
      <c r="R39" s="104"/>
      <c r="S39" s="104"/>
      <c r="T39" s="104"/>
      <c r="U39" s="104"/>
    </row>
  </sheetData>
  <sheetProtection/>
  <mergeCells count="30">
    <mergeCell ref="B5:B15"/>
    <mergeCell ref="J8:J15"/>
    <mergeCell ref="H8:H15"/>
    <mergeCell ref="R7:R15"/>
    <mergeCell ref="A5:A15"/>
    <mergeCell ref="E8:E15"/>
    <mergeCell ref="F8:G8"/>
    <mergeCell ref="K8:K15"/>
    <mergeCell ref="F9:F15"/>
    <mergeCell ref="N7:N15"/>
    <mergeCell ref="C5:C15"/>
    <mergeCell ref="E7:J7"/>
    <mergeCell ref="L8:M8"/>
    <mergeCell ref="O7:O15"/>
    <mergeCell ref="P7:P15"/>
    <mergeCell ref="T7:T15"/>
    <mergeCell ref="Q7:Q15"/>
    <mergeCell ref="L9:L15"/>
    <mergeCell ref="M9:M15"/>
    <mergeCell ref="D5:P6"/>
    <mergeCell ref="A2:T2"/>
    <mergeCell ref="Q5:T6"/>
    <mergeCell ref="U5:U15"/>
    <mergeCell ref="D7:D15"/>
    <mergeCell ref="S7:S15"/>
    <mergeCell ref="G4:I4"/>
    <mergeCell ref="K4:M4"/>
    <mergeCell ref="K7:M7"/>
    <mergeCell ref="I8:I15"/>
    <mergeCell ref="G9:G15"/>
  </mergeCells>
  <printOptions/>
  <pageMargins left="0.39" right="0" top="0.33" bottom="0.44" header="0.25" footer="0.25"/>
  <pageSetup fitToHeight="0"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rgb="FFFFFF99"/>
    <pageSetUpPr fitToPage="1"/>
  </sheetPr>
  <dimension ref="A1:I44"/>
  <sheetViews>
    <sheetView view="pageBreakPreview" zoomScale="60" zoomScalePageLayoutView="0" workbookViewId="0" topLeftCell="A1">
      <selection activeCell="A29" sqref="A29:F29"/>
    </sheetView>
  </sheetViews>
  <sheetFormatPr defaultColWidth="8.796875" defaultRowHeight="15"/>
  <cols>
    <col min="1" max="1" width="7.3984375" style="28" customWidth="1"/>
    <col min="2" max="2" width="16.09765625" style="28" customWidth="1"/>
    <col min="3" max="3" width="12" style="28" customWidth="1"/>
    <col min="4" max="4" width="18.09765625" style="28" customWidth="1"/>
    <col min="5" max="5" width="18.3984375" style="28" customWidth="1"/>
    <col min="6" max="6" width="15.19921875" style="28" customWidth="1"/>
    <col min="7" max="7" width="12.5" style="28" bestFit="1" customWidth="1"/>
    <col min="8" max="16384" width="9" style="28" customWidth="1"/>
  </cols>
  <sheetData>
    <row r="1" spans="1:9" ht="18.75">
      <c r="A1" s="99"/>
      <c r="B1" s="99"/>
      <c r="C1" s="101"/>
      <c r="D1" s="101"/>
      <c r="E1" s="146"/>
      <c r="F1" s="145" t="s">
        <v>230</v>
      </c>
      <c r="G1" s="69"/>
      <c r="H1" s="69"/>
      <c r="I1" s="69"/>
    </row>
    <row r="2" spans="1:6" ht="18.75">
      <c r="A2" s="193"/>
      <c r="B2" s="193"/>
      <c r="C2" s="101"/>
      <c r="D2" s="101"/>
      <c r="E2" s="101"/>
      <c r="F2" s="101"/>
    </row>
    <row r="3" spans="1:6" s="30" customFormat="1" ht="16.5">
      <c r="A3" s="142" t="s">
        <v>157</v>
      </c>
      <c r="B3" s="142"/>
      <c r="C3" s="143"/>
      <c r="D3" s="143"/>
      <c r="E3" s="143"/>
      <c r="F3" s="143"/>
    </row>
    <row r="4" spans="1:6" s="30" customFormat="1" ht="16.5">
      <c r="A4" s="412" t="s">
        <v>334</v>
      </c>
      <c r="B4" s="412"/>
      <c r="C4" s="412"/>
      <c r="D4" s="412"/>
      <c r="E4" s="412"/>
      <c r="F4" s="412"/>
    </row>
    <row r="5" spans="1:6" ht="15.75">
      <c r="A5" s="165" t="str">
        <f>PL15!A3</f>
        <v>(Kèm theo Nghị quyết số       /NQ-HĐND ngày       tháng 12 năm 2022 của HĐND huyện Tuần Giáo)</v>
      </c>
      <c r="B5" s="99"/>
      <c r="C5" s="101"/>
      <c r="D5" s="101"/>
      <c r="E5" s="101"/>
      <c r="F5" s="101"/>
    </row>
    <row r="6" spans="1:6" ht="19.5" customHeight="1">
      <c r="A6" s="103"/>
      <c r="B6" s="103"/>
      <c r="C6" s="104"/>
      <c r="D6" s="104"/>
      <c r="E6" s="413" t="s">
        <v>92</v>
      </c>
      <c r="F6" s="413"/>
    </row>
    <row r="7" spans="1:6" s="30" customFormat="1" ht="36.75" customHeight="1">
      <c r="A7" s="369" t="s">
        <v>62</v>
      </c>
      <c r="B7" s="366" t="s">
        <v>32</v>
      </c>
      <c r="C7" s="366" t="s">
        <v>81</v>
      </c>
      <c r="D7" s="369" t="s">
        <v>134</v>
      </c>
      <c r="E7" s="369" t="s">
        <v>245</v>
      </c>
      <c r="F7" s="369" t="s">
        <v>135</v>
      </c>
    </row>
    <row r="8" spans="1:6" s="30" customFormat="1" ht="48.75" customHeight="1">
      <c r="A8" s="369"/>
      <c r="B8" s="366"/>
      <c r="C8" s="366"/>
      <c r="D8" s="369"/>
      <c r="E8" s="369"/>
      <c r="F8" s="369"/>
    </row>
    <row r="9" spans="1:6" s="32" customFormat="1" ht="21.75" customHeight="1">
      <c r="A9" s="66" t="s">
        <v>10</v>
      </c>
      <c r="B9" s="66" t="s">
        <v>11</v>
      </c>
      <c r="C9" s="66" t="s">
        <v>102</v>
      </c>
      <c r="D9" s="66">
        <v>2</v>
      </c>
      <c r="E9" s="66">
        <f>D9+1</f>
        <v>3</v>
      </c>
      <c r="F9" s="66">
        <f>E9+1</f>
        <v>4</v>
      </c>
    </row>
    <row r="10" spans="1:6" s="34" customFormat="1" ht="24" customHeight="1">
      <c r="A10" s="194"/>
      <c r="B10" s="114" t="s">
        <v>31</v>
      </c>
      <c r="C10" s="195">
        <f>SUM(C11:C29)</f>
        <v>54850</v>
      </c>
      <c r="D10" s="195">
        <f>SUM(D11:D29)</f>
        <v>0</v>
      </c>
      <c r="E10" s="195">
        <f>SUM(E11:E29)</f>
        <v>3205</v>
      </c>
      <c r="F10" s="195">
        <f>SUM(F11:F29)</f>
        <v>51645</v>
      </c>
    </row>
    <row r="11" spans="1:6" s="33" customFormat="1" ht="24" customHeight="1">
      <c r="A11" s="126">
        <v>1</v>
      </c>
      <c r="B11" s="113" t="s">
        <v>313</v>
      </c>
      <c r="C11" s="196">
        <f>SUM(D11:F11)</f>
        <v>3041</v>
      </c>
      <c r="D11" s="196"/>
      <c r="E11" s="112">
        <v>257</v>
      </c>
      <c r="F11" s="112">
        <v>2784</v>
      </c>
    </row>
    <row r="12" spans="1:6" s="33" customFormat="1" ht="24" customHeight="1">
      <c r="A12" s="126">
        <v>2</v>
      </c>
      <c r="B12" s="113" t="s">
        <v>314</v>
      </c>
      <c r="C12" s="196">
        <f aca="true" t="shared" si="0" ref="C12:C29">SUM(D12:F12)</f>
        <v>3211</v>
      </c>
      <c r="D12" s="196"/>
      <c r="E12" s="112">
        <v>395</v>
      </c>
      <c r="F12" s="112">
        <v>2816</v>
      </c>
    </row>
    <row r="13" spans="1:6" s="33" customFormat="1" ht="24" customHeight="1">
      <c r="A13" s="126">
        <v>3</v>
      </c>
      <c r="B13" s="113" t="s">
        <v>315</v>
      </c>
      <c r="C13" s="196">
        <f t="shared" si="0"/>
        <v>2886</v>
      </c>
      <c r="D13" s="196"/>
      <c r="E13" s="112">
        <v>62</v>
      </c>
      <c r="F13" s="112">
        <v>2824</v>
      </c>
    </row>
    <row r="14" spans="1:6" s="33" customFormat="1" ht="24" customHeight="1">
      <c r="A14" s="126">
        <v>4</v>
      </c>
      <c r="B14" s="113" t="s">
        <v>316</v>
      </c>
      <c r="C14" s="196">
        <f t="shared" si="0"/>
        <v>3105</v>
      </c>
      <c r="D14" s="196"/>
      <c r="E14" s="112">
        <v>255</v>
      </c>
      <c r="F14" s="112">
        <v>2850</v>
      </c>
    </row>
    <row r="15" spans="1:6" s="33" customFormat="1" ht="24" customHeight="1">
      <c r="A15" s="126">
        <v>5</v>
      </c>
      <c r="B15" s="113" t="s">
        <v>317</v>
      </c>
      <c r="C15" s="196">
        <f t="shared" si="0"/>
        <v>2916</v>
      </c>
      <c r="D15" s="196"/>
      <c r="E15" s="112"/>
      <c r="F15" s="112">
        <v>2916</v>
      </c>
    </row>
    <row r="16" spans="1:6" s="33" customFormat="1" ht="24" customHeight="1">
      <c r="A16" s="126">
        <v>6</v>
      </c>
      <c r="B16" s="113" t="s">
        <v>222</v>
      </c>
      <c r="C16" s="196">
        <f t="shared" si="0"/>
        <v>0</v>
      </c>
      <c r="D16" s="196"/>
      <c r="E16" s="112"/>
      <c r="F16" s="112"/>
    </row>
    <row r="17" spans="1:6" s="33" customFormat="1" ht="24" customHeight="1">
      <c r="A17" s="126">
        <v>7</v>
      </c>
      <c r="B17" s="113" t="s">
        <v>318</v>
      </c>
      <c r="C17" s="196">
        <f t="shared" si="0"/>
        <v>3273</v>
      </c>
      <c r="D17" s="196"/>
      <c r="E17" s="112">
        <v>419</v>
      </c>
      <c r="F17" s="112">
        <v>2854</v>
      </c>
    </row>
    <row r="18" spans="1:6" s="33" customFormat="1" ht="24" customHeight="1">
      <c r="A18" s="126">
        <v>8</v>
      </c>
      <c r="B18" s="113" t="s">
        <v>319</v>
      </c>
      <c r="C18" s="196">
        <f t="shared" si="0"/>
        <v>3036</v>
      </c>
      <c r="D18" s="196"/>
      <c r="E18" s="112">
        <v>37</v>
      </c>
      <c r="F18" s="112">
        <v>2999</v>
      </c>
    </row>
    <row r="19" spans="1:6" s="33" customFormat="1" ht="24" customHeight="1">
      <c r="A19" s="126">
        <v>9</v>
      </c>
      <c r="B19" s="113" t="s">
        <v>320</v>
      </c>
      <c r="C19" s="196">
        <f t="shared" si="0"/>
        <v>3093</v>
      </c>
      <c r="D19" s="196"/>
      <c r="E19" s="112">
        <v>196</v>
      </c>
      <c r="F19" s="112">
        <v>2897</v>
      </c>
    </row>
    <row r="20" spans="1:6" s="33" customFormat="1" ht="24" customHeight="1">
      <c r="A20" s="126">
        <v>10</v>
      </c>
      <c r="B20" s="113" t="s">
        <v>321</v>
      </c>
      <c r="C20" s="196">
        <f t="shared" si="0"/>
        <v>3335</v>
      </c>
      <c r="D20" s="196"/>
      <c r="E20" s="112">
        <v>499</v>
      </c>
      <c r="F20" s="112">
        <v>2836</v>
      </c>
    </row>
    <row r="21" spans="1:6" s="33" customFormat="1" ht="24" customHeight="1">
      <c r="A21" s="126">
        <v>11</v>
      </c>
      <c r="B21" s="113" t="s">
        <v>322</v>
      </c>
      <c r="C21" s="196">
        <f t="shared" si="0"/>
        <v>2921</v>
      </c>
      <c r="D21" s="196"/>
      <c r="E21" s="112"/>
      <c r="F21" s="112">
        <v>2921</v>
      </c>
    </row>
    <row r="22" spans="1:6" s="33" customFormat="1" ht="24" customHeight="1">
      <c r="A22" s="126">
        <v>12</v>
      </c>
      <c r="B22" s="113" t="s">
        <v>323</v>
      </c>
      <c r="C22" s="196">
        <f t="shared" si="0"/>
        <v>3015</v>
      </c>
      <c r="D22" s="196"/>
      <c r="E22" s="112">
        <v>73</v>
      </c>
      <c r="F22" s="112">
        <v>2942</v>
      </c>
    </row>
    <row r="23" spans="1:6" s="33" customFormat="1" ht="24" customHeight="1">
      <c r="A23" s="126">
        <v>13</v>
      </c>
      <c r="B23" s="113" t="s">
        <v>324</v>
      </c>
      <c r="C23" s="196">
        <f t="shared" si="0"/>
        <v>2863</v>
      </c>
      <c r="D23" s="196"/>
      <c r="E23" s="112">
        <v>36</v>
      </c>
      <c r="F23" s="112">
        <v>2827</v>
      </c>
    </row>
    <row r="24" spans="1:6" s="33" customFormat="1" ht="24" customHeight="1">
      <c r="A24" s="126">
        <v>14</v>
      </c>
      <c r="B24" s="113" t="s">
        <v>325</v>
      </c>
      <c r="C24" s="196">
        <f t="shared" si="0"/>
        <v>2947</v>
      </c>
      <c r="D24" s="196"/>
      <c r="E24" s="112">
        <v>153</v>
      </c>
      <c r="F24" s="112">
        <v>2794</v>
      </c>
    </row>
    <row r="25" spans="1:6" s="33" customFormat="1" ht="24" customHeight="1">
      <c r="A25" s="126">
        <v>15</v>
      </c>
      <c r="B25" s="113" t="s">
        <v>326</v>
      </c>
      <c r="C25" s="196">
        <f t="shared" si="0"/>
        <v>3085</v>
      </c>
      <c r="D25" s="196"/>
      <c r="E25" s="112">
        <v>49</v>
      </c>
      <c r="F25" s="112">
        <v>3036</v>
      </c>
    </row>
    <row r="26" spans="1:6" s="33" customFormat="1" ht="24" customHeight="1">
      <c r="A26" s="126">
        <v>16</v>
      </c>
      <c r="B26" s="113" t="s">
        <v>327</v>
      </c>
      <c r="C26" s="196">
        <f t="shared" si="0"/>
        <v>3103</v>
      </c>
      <c r="D26" s="196"/>
      <c r="E26" s="112">
        <v>168</v>
      </c>
      <c r="F26" s="112">
        <v>2935</v>
      </c>
    </row>
    <row r="27" spans="1:6" s="33" customFormat="1" ht="24" customHeight="1">
      <c r="A27" s="126">
        <v>17</v>
      </c>
      <c r="B27" s="113" t="s">
        <v>328</v>
      </c>
      <c r="C27" s="196">
        <f t="shared" si="0"/>
        <v>2879</v>
      </c>
      <c r="D27" s="196"/>
      <c r="E27" s="112">
        <v>101</v>
      </c>
      <c r="F27" s="112">
        <v>2778</v>
      </c>
    </row>
    <row r="28" spans="1:6" s="33" customFormat="1" ht="24" customHeight="1">
      <c r="A28" s="126">
        <v>18</v>
      </c>
      <c r="B28" s="113" t="s">
        <v>329</v>
      </c>
      <c r="C28" s="196">
        <f t="shared" si="0"/>
        <v>3155</v>
      </c>
      <c r="D28" s="196"/>
      <c r="E28" s="112">
        <v>302</v>
      </c>
      <c r="F28" s="112">
        <v>2853</v>
      </c>
    </row>
    <row r="29" spans="1:6" s="33" customFormat="1" ht="24" customHeight="1" thickBot="1">
      <c r="A29" s="451">
        <v>19</v>
      </c>
      <c r="B29" s="439" t="s">
        <v>330</v>
      </c>
      <c r="C29" s="482">
        <f t="shared" si="0"/>
        <v>2986</v>
      </c>
      <c r="D29" s="482"/>
      <c r="E29" s="483">
        <v>203</v>
      </c>
      <c r="F29" s="483">
        <v>2783</v>
      </c>
    </row>
    <row r="30" spans="1:6" ht="25.5" customHeight="1" thickTop="1">
      <c r="A30" s="61"/>
      <c r="B30" s="63"/>
      <c r="C30" s="33"/>
      <c r="D30" s="33"/>
      <c r="E30" s="33"/>
      <c r="F30" s="33"/>
    </row>
    <row r="31" spans="1:6" ht="18.75">
      <c r="A31" s="33"/>
      <c r="B31" s="33"/>
      <c r="C31" s="33"/>
      <c r="D31" s="33"/>
      <c r="E31" s="33"/>
      <c r="F31" s="33"/>
    </row>
    <row r="32" spans="1:6" ht="18.75">
      <c r="A32" s="33"/>
      <c r="B32" s="33"/>
      <c r="C32" s="33"/>
      <c r="D32" s="33"/>
      <c r="E32" s="33"/>
      <c r="F32" s="33"/>
    </row>
    <row r="33" spans="1:6" ht="18.75">
      <c r="A33" s="33"/>
      <c r="B33" s="33"/>
      <c r="C33" s="33"/>
      <c r="D33" s="33"/>
      <c r="E33" s="33"/>
      <c r="F33" s="33"/>
    </row>
    <row r="34" spans="1:6" ht="18.75">
      <c r="A34" s="33"/>
      <c r="B34" s="33"/>
      <c r="C34" s="33"/>
      <c r="D34" s="33"/>
      <c r="E34" s="33"/>
      <c r="F34" s="33"/>
    </row>
    <row r="35" spans="1:6" ht="18.75">
      <c r="A35" s="33"/>
      <c r="B35" s="33"/>
      <c r="C35" s="33"/>
      <c r="D35" s="33"/>
      <c r="E35" s="33"/>
      <c r="F35" s="33"/>
    </row>
    <row r="36" spans="1:6" ht="18.75">
      <c r="A36" s="33"/>
      <c r="B36" s="33"/>
      <c r="C36" s="33"/>
      <c r="D36" s="33"/>
      <c r="E36" s="33"/>
      <c r="F36" s="33"/>
    </row>
    <row r="37" spans="1:6" ht="18.75">
      <c r="A37" s="33"/>
      <c r="B37" s="33"/>
      <c r="C37" s="33"/>
      <c r="D37" s="33"/>
      <c r="E37" s="33"/>
      <c r="F37" s="33"/>
    </row>
    <row r="38" spans="1:6" ht="18.75">
      <c r="A38" s="33"/>
      <c r="B38" s="33"/>
      <c r="C38" s="33"/>
      <c r="D38" s="33"/>
      <c r="E38" s="33"/>
      <c r="F38" s="33"/>
    </row>
    <row r="39" spans="1:6" ht="18.75">
      <c r="A39" s="33"/>
      <c r="B39" s="33"/>
      <c r="C39" s="33"/>
      <c r="D39" s="33"/>
      <c r="E39" s="33"/>
      <c r="F39" s="33"/>
    </row>
    <row r="40" spans="1:6" ht="22.5" customHeight="1">
      <c r="A40" s="33"/>
      <c r="B40" s="33"/>
      <c r="C40" s="33"/>
      <c r="D40" s="33"/>
      <c r="E40" s="33"/>
      <c r="F40" s="33"/>
    </row>
    <row r="41" spans="1:6" ht="18.75">
      <c r="A41" s="33"/>
      <c r="B41" s="33"/>
      <c r="C41" s="33"/>
      <c r="D41" s="33"/>
      <c r="E41" s="33"/>
      <c r="F41" s="33"/>
    </row>
    <row r="42" spans="1:6" ht="18.75">
      <c r="A42" s="33"/>
      <c r="B42" s="33"/>
      <c r="C42" s="33"/>
      <c r="D42" s="33"/>
      <c r="E42" s="33"/>
      <c r="F42" s="33"/>
    </row>
    <row r="43" spans="1:6" ht="18.75">
      <c r="A43" s="33"/>
      <c r="B43" s="33"/>
      <c r="C43" s="33"/>
      <c r="D43" s="33"/>
      <c r="E43" s="33"/>
      <c r="F43" s="33"/>
    </row>
    <row r="44" spans="1:6" ht="18.75">
      <c r="A44" s="33"/>
      <c r="B44" s="33"/>
      <c r="C44" s="33"/>
      <c r="D44" s="33"/>
      <c r="E44" s="33"/>
      <c r="F44" s="33"/>
    </row>
  </sheetData>
  <sheetProtection/>
  <mergeCells count="8">
    <mergeCell ref="A4:F4"/>
    <mergeCell ref="E6:F6"/>
    <mergeCell ref="A7:A8"/>
    <mergeCell ref="B7:B8"/>
    <mergeCell ref="C7:C8"/>
    <mergeCell ref="D7:D8"/>
    <mergeCell ref="E7:E8"/>
    <mergeCell ref="F7:F8"/>
  </mergeCells>
  <printOptions/>
  <pageMargins left="0.66" right="0.23" top="0.64" bottom="0.4" header="0.3" footer="0.3"/>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99"/>
    <pageSetUpPr fitToPage="1"/>
  </sheetPr>
  <dimension ref="A1:Q28"/>
  <sheetViews>
    <sheetView view="pageBreakPreview" zoomScale="60" zoomScaleNormal="70" zoomScalePageLayoutView="0" workbookViewId="0" topLeftCell="A1">
      <selection activeCell="A27" sqref="A27:Q27"/>
    </sheetView>
  </sheetViews>
  <sheetFormatPr defaultColWidth="8.796875" defaultRowHeight="15"/>
  <cols>
    <col min="1" max="1" width="6.3984375" style="28" customWidth="1"/>
    <col min="2" max="2" width="17.5" style="28" customWidth="1"/>
    <col min="3" max="17" width="9.3984375" style="28" customWidth="1"/>
    <col min="18" max="16384" width="9" style="28" customWidth="1"/>
  </cols>
  <sheetData>
    <row r="1" spans="1:17" ht="18.75" customHeight="1">
      <c r="A1" s="86"/>
      <c r="N1" s="414" t="s">
        <v>266</v>
      </c>
      <c r="O1" s="414"/>
      <c r="P1" s="414"/>
      <c r="Q1" s="414"/>
    </row>
    <row r="2" spans="1:17" ht="63" customHeight="1">
      <c r="A2" s="415" t="s">
        <v>335</v>
      </c>
      <c r="B2" s="415"/>
      <c r="C2" s="415"/>
      <c r="D2" s="415"/>
      <c r="E2" s="415"/>
      <c r="F2" s="415"/>
      <c r="G2" s="415"/>
      <c r="H2" s="415"/>
      <c r="I2" s="415"/>
      <c r="J2" s="415"/>
      <c r="K2" s="415"/>
      <c r="L2" s="415"/>
      <c r="M2" s="415"/>
      <c r="N2" s="415"/>
      <c r="O2" s="415"/>
      <c r="P2" s="415"/>
      <c r="Q2" s="415"/>
    </row>
    <row r="3" spans="1:17" ht="21.75" customHeight="1">
      <c r="A3" s="416" t="str">
        <f>'PL42-NSX'!A5</f>
        <v>(Kèm theo Nghị quyết số       /NQ-HĐND ngày       tháng 12 năm 2022 của HĐND huyện Tuần Giáo)</v>
      </c>
      <c r="B3" s="416"/>
      <c r="C3" s="416"/>
      <c r="D3" s="416"/>
      <c r="E3" s="416"/>
      <c r="F3" s="416"/>
      <c r="G3" s="416"/>
      <c r="H3" s="416"/>
      <c r="I3" s="416"/>
      <c r="J3" s="416"/>
      <c r="K3" s="416"/>
      <c r="L3" s="416"/>
      <c r="M3" s="416"/>
      <c r="N3" s="416"/>
      <c r="O3" s="416"/>
      <c r="P3" s="416"/>
      <c r="Q3" s="416"/>
    </row>
    <row r="4" spans="1:17" ht="21.75" customHeight="1">
      <c r="A4" s="87"/>
      <c r="J4" s="417" t="s">
        <v>92</v>
      </c>
      <c r="K4" s="417"/>
      <c r="L4" s="417"/>
      <c r="M4" s="417"/>
      <c r="N4" s="417"/>
      <c r="O4" s="417"/>
      <c r="P4" s="417"/>
      <c r="Q4" s="417"/>
    </row>
    <row r="5" spans="1:17" ht="75.75" customHeight="1">
      <c r="A5" s="369" t="s">
        <v>62</v>
      </c>
      <c r="B5" s="369" t="s">
        <v>261</v>
      </c>
      <c r="C5" s="369" t="s">
        <v>81</v>
      </c>
      <c r="D5" s="369"/>
      <c r="E5" s="369"/>
      <c r="F5" s="369" t="s">
        <v>336</v>
      </c>
      <c r="G5" s="369"/>
      <c r="H5" s="369"/>
      <c r="I5" s="369" t="s">
        <v>337</v>
      </c>
      <c r="J5" s="369"/>
      <c r="K5" s="369"/>
      <c r="L5" s="369" t="s">
        <v>338</v>
      </c>
      <c r="M5" s="369"/>
      <c r="N5" s="369"/>
      <c r="O5" s="369" t="s">
        <v>339</v>
      </c>
      <c r="P5" s="369"/>
      <c r="Q5" s="369"/>
    </row>
    <row r="6" spans="1:17" ht="61.5" customHeight="1">
      <c r="A6" s="369"/>
      <c r="B6" s="369"/>
      <c r="C6" s="29" t="s">
        <v>81</v>
      </c>
      <c r="D6" s="29" t="s">
        <v>262</v>
      </c>
      <c r="E6" s="29" t="s">
        <v>263</v>
      </c>
      <c r="F6" s="29" t="s">
        <v>81</v>
      </c>
      <c r="G6" s="29" t="s">
        <v>262</v>
      </c>
      <c r="H6" s="29" t="s">
        <v>263</v>
      </c>
      <c r="I6" s="29" t="s">
        <v>81</v>
      </c>
      <c r="J6" s="29" t="s">
        <v>262</v>
      </c>
      <c r="K6" s="29" t="s">
        <v>263</v>
      </c>
      <c r="L6" s="29" t="s">
        <v>81</v>
      </c>
      <c r="M6" s="29" t="s">
        <v>262</v>
      </c>
      <c r="N6" s="29" t="s">
        <v>263</v>
      </c>
      <c r="O6" s="29" t="s">
        <v>81</v>
      </c>
      <c r="P6" s="29" t="s">
        <v>262</v>
      </c>
      <c r="Q6" s="29" t="s">
        <v>263</v>
      </c>
    </row>
    <row r="7" spans="1:17" s="65" customFormat="1" ht="20.25" customHeight="1">
      <c r="A7" s="58" t="s">
        <v>10</v>
      </c>
      <c r="B7" s="58" t="s">
        <v>11</v>
      </c>
      <c r="C7" s="58" t="s">
        <v>50</v>
      </c>
      <c r="D7" s="58">
        <v>2</v>
      </c>
      <c r="E7" s="58">
        <v>3</v>
      </c>
      <c r="F7" s="58" t="s">
        <v>264</v>
      </c>
      <c r="G7" s="58">
        <v>5</v>
      </c>
      <c r="H7" s="58">
        <v>6</v>
      </c>
      <c r="I7" s="58" t="s">
        <v>265</v>
      </c>
      <c r="J7" s="58">
        <v>8</v>
      </c>
      <c r="K7" s="58">
        <v>9</v>
      </c>
      <c r="L7" s="58" t="s">
        <v>340</v>
      </c>
      <c r="M7" s="58">
        <v>11</v>
      </c>
      <c r="N7" s="58">
        <v>12</v>
      </c>
      <c r="O7" s="58" t="s">
        <v>341</v>
      </c>
      <c r="P7" s="58">
        <v>14</v>
      </c>
      <c r="Q7" s="58">
        <v>15</v>
      </c>
    </row>
    <row r="8" spans="1:17" s="12" customFormat="1" ht="20.25" customHeight="1">
      <c r="A8" s="29"/>
      <c r="B8" s="54" t="s">
        <v>31</v>
      </c>
      <c r="C8" s="88">
        <f>SUM(C9:C27)</f>
        <v>54850</v>
      </c>
      <c r="D8" s="88">
        <f aca="true" t="shared" si="0" ref="D8:Q8">SUM(D9:D27)</f>
        <v>54850</v>
      </c>
      <c r="E8" s="88">
        <f t="shared" si="0"/>
        <v>0</v>
      </c>
      <c r="F8" s="88">
        <f t="shared" si="0"/>
        <v>35534</v>
      </c>
      <c r="G8" s="88">
        <f t="shared" si="0"/>
        <v>35534</v>
      </c>
      <c r="H8" s="88">
        <f t="shared" si="0"/>
        <v>0</v>
      </c>
      <c r="I8" s="88">
        <f t="shared" si="0"/>
        <v>15931</v>
      </c>
      <c r="J8" s="88">
        <f t="shared" si="0"/>
        <v>15931</v>
      </c>
      <c r="K8" s="88">
        <f t="shared" si="0"/>
        <v>0</v>
      </c>
      <c r="L8" s="88">
        <f t="shared" si="0"/>
        <v>180</v>
      </c>
      <c r="M8" s="88">
        <f t="shared" si="0"/>
        <v>180</v>
      </c>
      <c r="N8" s="88">
        <f t="shared" si="0"/>
        <v>0</v>
      </c>
      <c r="O8" s="88">
        <f t="shared" si="0"/>
        <v>3205</v>
      </c>
      <c r="P8" s="88">
        <f t="shared" si="0"/>
        <v>3205</v>
      </c>
      <c r="Q8" s="88">
        <f t="shared" si="0"/>
        <v>0</v>
      </c>
    </row>
    <row r="9" spans="1:17" ht="20.25" customHeight="1">
      <c r="A9" s="89">
        <v>1</v>
      </c>
      <c r="B9" s="56" t="s">
        <v>313</v>
      </c>
      <c r="C9" s="90">
        <f>+D9+E9</f>
        <v>3041</v>
      </c>
      <c r="D9" s="90">
        <f>+G9+J9+M9+P9</f>
        <v>3041</v>
      </c>
      <c r="E9" s="90">
        <f>+H9+K9+N9+Q9</f>
        <v>0</v>
      </c>
      <c r="F9" s="90">
        <f>G9+H9</f>
        <v>1786</v>
      </c>
      <c r="G9" s="90">
        <v>1786</v>
      </c>
      <c r="H9" s="90">
        <v>0</v>
      </c>
      <c r="I9" s="90">
        <f>J9+K9</f>
        <v>988</v>
      </c>
      <c r="J9" s="90">
        <v>988</v>
      </c>
      <c r="K9" s="90">
        <v>0</v>
      </c>
      <c r="L9" s="90">
        <f>M9+N9</f>
        <v>10</v>
      </c>
      <c r="M9" s="90">
        <v>10</v>
      </c>
      <c r="N9" s="90">
        <v>0</v>
      </c>
      <c r="O9" s="90">
        <f>P9+Q9</f>
        <v>257</v>
      </c>
      <c r="P9" s="68">
        <v>257</v>
      </c>
      <c r="Q9" s="90">
        <v>0</v>
      </c>
    </row>
    <row r="10" spans="1:17" ht="20.25" customHeight="1">
      <c r="A10" s="89">
        <v>2</v>
      </c>
      <c r="B10" s="56" t="s">
        <v>314</v>
      </c>
      <c r="C10" s="90">
        <f aca="true" t="shared" si="1" ref="C10:C27">+D10+E10</f>
        <v>3211</v>
      </c>
      <c r="D10" s="90">
        <f aca="true" t="shared" si="2" ref="D10:D27">+G10+J10+M10+P10</f>
        <v>3211</v>
      </c>
      <c r="E10" s="90">
        <f aca="true" t="shared" si="3" ref="E10:E27">+H10+K10+N10+Q10</f>
        <v>0</v>
      </c>
      <c r="F10" s="90">
        <f aca="true" t="shared" si="4" ref="F10:F27">G10+H10</f>
        <v>1968</v>
      </c>
      <c r="G10" s="90">
        <v>1968</v>
      </c>
      <c r="H10" s="90">
        <v>0</v>
      </c>
      <c r="I10" s="90">
        <f aca="true" t="shared" si="5" ref="I10:I27">J10+K10</f>
        <v>838</v>
      </c>
      <c r="J10" s="90">
        <v>838</v>
      </c>
      <c r="K10" s="90">
        <v>0</v>
      </c>
      <c r="L10" s="90">
        <f aca="true" t="shared" si="6" ref="L10:L27">M10+N10</f>
        <v>10</v>
      </c>
      <c r="M10" s="90">
        <v>10</v>
      </c>
      <c r="N10" s="90">
        <v>0</v>
      </c>
      <c r="O10" s="90">
        <f aca="true" t="shared" si="7" ref="O10:O27">P10+Q10</f>
        <v>395</v>
      </c>
      <c r="P10" s="68">
        <v>395</v>
      </c>
      <c r="Q10" s="90">
        <v>0</v>
      </c>
    </row>
    <row r="11" spans="1:17" ht="20.25" customHeight="1">
      <c r="A11" s="89">
        <v>3</v>
      </c>
      <c r="B11" s="56" t="s">
        <v>315</v>
      </c>
      <c r="C11" s="90">
        <f t="shared" si="1"/>
        <v>2886</v>
      </c>
      <c r="D11" s="90">
        <f t="shared" si="2"/>
        <v>2886</v>
      </c>
      <c r="E11" s="90">
        <f t="shared" si="3"/>
        <v>0</v>
      </c>
      <c r="F11" s="90">
        <f t="shared" si="4"/>
        <v>1907</v>
      </c>
      <c r="G11" s="90">
        <v>1907</v>
      </c>
      <c r="H11" s="90">
        <v>0</v>
      </c>
      <c r="I11" s="90">
        <f t="shared" si="5"/>
        <v>907</v>
      </c>
      <c r="J11" s="90">
        <v>907</v>
      </c>
      <c r="K11" s="90">
        <v>0</v>
      </c>
      <c r="L11" s="90">
        <f t="shared" si="6"/>
        <v>10</v>
      </c>
      <c r="M11" s="90">
        <v>10</v>
      </c>
      <c r="N11" s="90">
        <v>0</v>
      </c>
      <c r="O11" s="90">
        <f t="shared" si="7"/>
        <v>62</v>
      </c>
      <c r="P11" s="68">
        <v>62</v>
      </c>
      <c r="Q11" s="90">
        <v>0</v>
      </c>
    </row>
    <row r="12" spans="1:17" ht="20.25" customHeight="1">
      <c r="A12" s="89">
        <v>4</v>
      </c>
      <c r="B12" s="56" t="s">
        <v>316</v>
      </c>
      <c r="C12" s="90">
        <f t="shared" si="1"/>
        <v>3105</v>
      </c>
      <c r="D12" s="90">
        <f t="shared" si="2"/>
        <v>3105</v>
      </c>
      <c r="E12" s="90">
        <f t="shared" si="3"/>
        <v>0</v>
      </c>
      <c r="F12" s="90">
        <f t="shared" si="4"/>
        <v>1852</v>
      </c>
      <c r="G12" s="90">
        <v>1852</v>
      </c>
      <c r="H12" s="90">
        <v>0</v>
      </c>
      <c r="I12" s="90">
        <f t="shared" si="5"/>
        <v>988</v>
      </c>
      <c r="J12" s="90">
        <v>988</v>
      </c>
      <c r="K12" s="90">
        <v>0</v>
      </c>
      <c r="L12" s="90">
        <f t="shared" si="6"/>
        <v>10</v>
      </c>
      <c r="M12" s="90">
        <v>10</v>
      </c>
      <c r="N12" s="90">
        <v>0</v>
      </c>
      <c r="O12" s="90">
        <f t="shared" si="7"/>
        <v>255</v>
      </c>
      <c r="P12" s="68">
        <v>255</v>
      </c>
      <c r="Q12" s="90">
        <v>0</v>
      </c>
    </row>
    <row r="13" spans="1:17" ht="20.25" customHeight="1">
      <c r="A13" s="89">
        <v>5</v>
      </c>
      <c r="B13" s="56" t="s">
        <v>317</v>
      </c>
      <c r="C13" s="90">
        <f t="shared" si="1"/>
        <v>2916</v>
      </c>
      <c r="D13" s="90">
        <f t="shared" si="2"/>
        <v>2916</v>
      </c>
      <c r="E13" s="90">
        <f t="shared" si="3"/>
        <v>0</v>
      </c>
      <c r="F13" s="90">
        <f t="shared" si="4"/>
        <v>1999</v>
      </c>
      <c r="G13" s="90">
        <v>1999</v>
      </c>
      <c r="H13" s="90">
        <v>0</v>
      </c>
      <c r="I13" s="90">
        <f t="shared" si="5"/>
        <v>907</v>
      </c>
      <c r="J13" s="90">
        <v>907</v>
      </c>
      <c r="K13" s="90">
        <v>0</v>
      </c>
      <c r="L13" s="90">
        <f t="shared" si="6"/>
        <v>10</v>
      </c>
      <c r="M13" s="90">
        <v>10</v>
      </c>
      <c r="N13" s="90">
        <v>0</v>
      </c>
      <c r="O13" s="90">
        <f t="shared" si="7"/>
        <v>0</v>
      </c>
      <c r="P13" s="68"/>
      <c r="Q13" s="90">
        <v>0</v>
      </c>
    </row>
    <row r="14" spans="1:17" ht="20.25" customHeight="1">
      <c r="A14" s="89">
        <v>6</v>
      </c>
      <c r="B14" s="56" t="s">
        <v>222</v>
      </c>
      <c r="C14" s="90">
        <f t="shared" si="1"/>
        <v>0</v>
      </c>
      <c r="D14" s="90">
        <f t="shared" si="2"/>
        <v>0</v>
      </c>
      <c r="E14" s="90">
        <f t="shared" si="3"/>
        <v>0</v>
      </c>
      <c r="F14" s="90">
        <f t="shared" si="4"/>
        <v>0</v>
      </c>
      <c r="G14" s="90">
        <v>0</v>
      </c>
      <c r="H14" s="90">
        <v>0</v>
      </c>
      <c r="I14" s="90">
        <f t="shared" si="5"/>
        <v>0</v>
      </c>
      <c r="J14" s="90"/>
      <c r="K14" s="90">
        <v>0</v>
      </c>
      <c r="L14" s="90">
        <f t="shared" si="6"/>
        <v>0</v>
      </c>
      <c r="M14" s="90">
        <v>0</v>
      </c>
      <c r="N14" s="90">
        <v>0</v>
      </c>
      <c r="O14" s="90">
        <f t="shared" si="7"/>
        <v>0</v>
      </c>
      <c r="P14" s="68"/>
      <c r="Q14" s="90">
        <v>0</v>
      </c>
    </row>
    <row r="15" spans="1:17" ht="20.25" customHeight="1">
      <c r="A15" s="89">
        <v>7</v>
      </c>
      <c r="B15" s="56" t="s">
        <v>318</v>
      </c>
      <c r="C15" s="90">
        <f t="shared" si="1"/>
        <v>3273</v>
      </c>
      <c r="D15" s="90">
        <f t="shared" si="2"/>
        <v>3273</v>
      </c>
      <c r="E15" s="90">
        <f t="shared" si="3"/>
        <v>0</v>
      </c>
      <c r="F15" s="90">
        <f t="shared" si="4"/>
        <v>1965</v>
      </c>
      <c r="G15" s="90">
        <v>1965</v>
      </c>
      <c r="H15" s="90">
        <v>0</v>
      </c>
      <c r="I15" s="90">
        <f t="shared" si="5"/>
        <v>879</v>
      </c>
      <c r="J15" s="90">
        <v>879</v>
      </c>
      <c r="K15" s="90">
        <v>0</v>
      </c>
      <c r="L15" s="90">
        <f t="shared" si="6"/>
        <v>10</v>
      </c>
      <c r="M15" s="90">
        <v>10</v>
      </c>
      <c r="N15" s="90">
        <v>0</v>
      </c>
      <c r="O15" s="90">
        <f t="shared" si="7"/>
        <v>419</v>
      </c>
      <c r="P15" s="68">
        <v>419</v>
      </c>
      <c r="Q15" s="90">
        <v>0</v>
      </c>
    </row>
    <row r="16" spans="1:17" ht="20.25" customHeight="1">
      <c r="A16" s="89">
        <v>8</v>
      </c>
      <c r="B16" s="56" t="s">
        <v>319</v>
      </c>
      <c r="C16" s="90">
        <f t="shared" si="1"/>
        <v>3036</v>
      </c>
      <c r="D16" s="90">
        <f t="shared" si="2"/>
        <v>3036</v>
      </c>
      <c r="E16" s="90">
        <f t="shared" si="3"/>
        <v>0</v>
      </c>
      <c r="F16" s="90">
        <f t="shared" si="4"/>
        <v>2014</v>
      </c>
      <c r="G16" s="90">
        <v>2014</v>
      </c>
      <c r="H16" s="90">
        <v>0</v>
      </c>
      <c r="I16" s="90">
        <f t="shared" si="5"/>
        <v>975</v>
      </c>
      <c r="J16" s="90">
        <v>975</v>
      </c>
      <c r="K16" s="90">
        <v>0</v>
      </c>
      <c r="L16" s="90">
        <f t="shared" si="6"/>
        <v>10</v>
      </c>
      <c r="M16" s="90">
        <v>10</v>
      </c>
      <c r="N16" s="90">
        <v>0</v>
      </c>
      <c r="O16" s="90">
        <f t="shared" si="7"/>
        <v>37</v>
      </c>
      <c r="P16" s="68">
        <v>37</v>
      </c>
      <c r="Q16" s="90">
        <v>0</v>
      </c>
    </row>
    <row r="17" spans="1:17" ht="20.25" customHeight="1">
      <c r="A17" s="89">
        <v>9</v>
      </c>
      <c r="B17" s="56" t="s">
        <v>320</v>
      </c>
      <c r="C17" s="90">
        <f t="shared" si="1"/>
        <v>3093</v>
      </c>
      <c r="D17" s="90">
        <f t="shared" si="2"/>
        <v>3093</v>
      </c>
      <c r="E17" s="90">
        <f t="shared" si="3"/>
        <v>0</v>
      </c>
      <c r="F17" s="90">
        <f t="shared" si="4"/>
        <v>1939</v>
      </c>
      <c r="G17" s="90">
        <v>1939</v>
      </c>
      <c r="H17" s="90">
        <v>0</v>
      </c>
      <c r="I17" s="90">
        <f t="shared" si="5"/>
        <v>948</v>
      </c>
      <c r="J17" s="90">
        <v>948</v>
      </c>
      <c r="K17" s="90">
        <v>0</v>
      </c>
      <c r="L17" s="90">
        <f t="shared" si="6"/>
        <v>10</v>
      </c>
      <c r="M17" s="90">
        <v>10</v>
      </c>
      <c r="N17" s="90">
        <v>0</v>
      </c>
      <c r="O17" s="90">
        <f t="shared" si="7"/>
        <v>196</v>
      </c>
      <c r="P17" s="68">
        <v>196</v>
      </c>
      <c r="Q17" s="90">
        <v>0</v>
      </c>
    </row>
    <row r="18" spans="1:17" ht="20.25" customHeight="1">
      <c r="A18" s="89">
        <v>10</v>
      </c>
      <c r="B18" s="56" t="s">
        <v>321</v>
      </c>
      <c r="C18" s="90">
        <f t="shared" si="1"/>
        <v>3335</v>
      </c>
      <c r="D18" s="90">
        <f t="shared" si="2"/>
        <v>3335</v>
      </c>
      <c r="E18" s="90">
        <f t="shared" si="3"/>
        <v>0</v>
      </c>
      <c r="F18" s="90">
        <f t="shared" si="4"/>
        <v>2015</v>
      </c>
      <c r="G18" s="90">
        <v>2015</v>
      </c>
      <c r="H18" s="90">
        <v>0</v>
      </c>
      <c r="I18" s="90">
        <f t="shared" si="5"/>
        <v>811</v>
      </c>
      <c r="J18" s="90">
        <v>811</v>
      </c>
      <c r="K18" s="90">
        <v>0</v>
      </c>
      <c r="L18" s="90">
        <f t="shared" si="6"/>
        <v>10</v>
      </c>
      <c r="M18" s="90">
        <v>10</v>
      </c>
      <c r="N18" s="90">
        <v>0</v>
      </c>
      <c r="O18" s="90">
        <f t="shared" si="7"/>
        <v>499</v>
      </c>
      <c r="P18" s="68">
        <v>499</v>
      </c>
      <c r="Q18" s="90">
        <v>0</v>
      </c>
    </row>
    <row r="19" spans="1:17" ht="20.25" customHeight="1">
      <c r="A19" s="89">
        <v>11</v>
      </c>
      <c r="B19" s="56" t="s">
        <v>322</v>
      </c>
      <c r="C19" s="90">
        <f t="shared" si="1"/>
        <v>2921</v>
      </c>
      <c r="D19" s="90">
        <f t="shared" si="2"/>
        <v>2921</v>
      </c>
      <c r="E19" s="90">
        <f t="shared" si="3"/>
        <v>0</v>
      </c>
      <c r="F19" s="90">
        <f t="shared" si="4"/>
        <v>2004</v>
      </c>
      <c r="G19" s="90">
        <v>2004</v>
      </c>
      <c r="H19" s="90">
        <v>0</v>
      </c>
      <c r="I19" s="90">
        <f t="shared" si="5"/>
        <v>907</v>
      </c>
      <c r="J19" s="90">
        <v>907</v>
      </c>
      <c r="K19" s="90">
        <v>0</v>
      </c>
      <c r="L19" s="90">
        <f t="shared" si="6"/>
        <v>10</v>
      </c>
      <c r="M19" s="90">
        <v>10</v>
      </c>
      <c r="N19" s="90">
        <v>0</v>
      </c>
      <c r="O19" s="90">
        <f t="shared" si="7"/>
        <v>0</v>
      </c>
      <c r="P19" s="68"/>
      <c r="Q19" s="90">
        <v>0</v>
      </c>
    </row>
    <row r="20" spans="1:17" ht="20.25" customHeight="1">
      <c r="A20" s="89">
        <v>12</v>
      </c>
      <c r="B20" s="56" t="s">
        <v>323</v>
      </c>
      <c r="C20" s="90">
        <f t="shared" si="1"/>
        <v>3015</v>
      </c>
      <c r="D20" s="90">
        <f t="shared" si="2"/>
        <v>3015</v>
      </c>
      <c r="E20" s="90">
        <f t="shared" si="3"/>
        <v>0</v>
      </c>
      <c r="F20" s="90">
        <f t="shared" si="4"/>
        <v>2067</v>
      </c>
      <c r="G20" s="90">
        <v>2067</v>
      </c>
      <c r="H20" s="90">
        <v>0</v>
      </c>
      <c r="I20" s="90">
        <f t="shared" si="5"/>
        <v>865</v>
      </c>
      <c r="J20" s="90">
        <v>865</v>
      </c>
      <c r="K20" s="90">
        <v>0</v>
      </c>
      <c r="L20" s="90">
        <f t="shared" si="6"/>
        <v>10</v>
      </c>
      <c r="M20" s="90">
        <v>10</v>
      </c>
      <c r="N20" s="90">
        <v>0</v>
      </c>
      <c r="O20" s="90">
        <f t="shared" si="7"/>
        <v>73</v>
      </c>
      <c r="P20" s="68">
        <v>73</v>
      </c>
      <c r="Q20" s="90">
        <v>0</v>
      </c>
    </row>
    <row r="21" spans="1:17" ht="20.25" customHeight="1">
      <c r="A21" s="89">
        <v>13</v>
      </c>
      <c r="B21" s="56" t="s">
        <v>324</v>
      </c>
      <c r="C21" s="90">
        <f t="shared" si="1"/>
        <v>2863</v>
      </c>
      <c r="D21" s="90">
        <f t="shared" si="2"/>
        <v>2863</v>
      </c>
      <c r="E21" s="90">
        <f t="shared" si="3"/>
        <v>0</v>
      </c>
      <c r="F21" s="90">
        <f t="shared" si="4"/>
        <v>2006</v>
      </c>
      <c r="G21" s="90">
        <v>2006</v>
      </c>
      <c r="H21" s="90">
        <v>0</v>
      </c>
      <c r="I21" s="90">
        <f t="shared" si="5"/>
        <v>811</v>
      </c>
      <c r="J21" s="90">
        <v>811</v>
      </c>
      <c r="K21" s="90">
        <v>0</v>
      </c>
      <c r="L21" s="90">
        <f t="shared" si="6"/>
        <v>10</v>
      </c>
      <c r="M21" s="90">
        <v>10</v>
      </c>
      <c r="N21" s="90">
        <v>0</v>
      </c>
      <c r="O21" s="90">
        <f t="shared" si="7"/>
        <v>36</v>
      </c>
      <c r="P21" s="68">
        <v>36</v>
      </c>
      <c r="Q21" s="90">
        <v>0</v>
      </c>
    </row>
    <row r="22" spans="1:17" ht="20.25" customHeight="1">
      <c r="A22" s="89">
        <v>14</v>
      </c>
      <c r="B22" s="56" t="s">
        <v>325</v>
      </c>
      <c r="C22" s="90">
        <f t="shared" si="1"/>
        <v>2947</v>
      </c>
      <c r="D22" s="90">
        <f t="shared" si="2"/>
        <v>2947</v>
      </c>
      <c r="E22" s="90">
        <f t="shared" si="3"/>
        <v>0</v>
      </c>
      <c r="F22" s="90">
        <f t="shared" si="4"/>
        <v>2001</v>
      </c>
      <c r="G22" s="90">
        <v>2001</v>
      </c>
      <c r="H22" s="90">
        <v>0</v>
      </c>
      <c r="I22" s="90">
        <f t="shared" si="5"/>
        <v>783</v>
      </c>
      <c r="J22" s="90">
        <v>783</v>
      </c>
      <c r="K22" s="90">
        <v>0</v>
      </c>
      <c r="L22" s="90">
        <f t="shared" si="6"/>
        <v>10</v>
      </c>
      <c r="M22" s="90">
        <v>10</v>
      </c>
      <c r="N22" s="90">
        <v>0</v>
      </c>
      <c r="O22" s="90">
        <f t="shared" si="7"/>
        <v>153</v>
      </c>
      <c r="P22" s="68">
        <v>153</v>
      </c>
      <c r="Q22" s="90">
        <v>0</v>
      </c>
    </row>
    <row r="23" spans="1:17" ht="20.25" customHeight="1">
      <c r="A23" s="89">
        <v>15</v>
      </c>
      <c r="B23" s="56" t="s">
        <v>326</v>
      </c>
      <c r="C23" s="90">
        <f t="shared" si="1"/>
        <v>3085</v>
      </c>
      <c r="D23" s="90">
        <f t="shared" si="2"/>
        <v>3085</v>
      </c>
      <c r="E23" s="90">
        <f t="shared" si="3"/>
        <v>0</v>
      </c>
      <c r="F23" s="90">
        <f t="shared" si="4"/>
        <v>2147</v>
      </c>
      <c r="G23" s="90">
        <v>2147</v>
      </c>
      <c r="H23" s="90">
        <v>0</v>
      </c>
      <c r="I23" s="90">
        <f t="shared" si="5"/>
        <v>879</v>
      </c>
      <c r="J23" s="90">
        <v>879</v>
      </c>
      <c r="K23" s="90">
        <v>0</v>
      </c>
      <c r="L23" s="90">
        <f t="shared" si="6"/>
        <v>10</v>
      </c>
      <c r="M23" s="90">
        <v>10</v>
      </c>
      <c r="N23" s="90">
        <v>0</v>
      </c>
      <c r="O23" s="90">
        <f t="shared" si="7"/>
        <v>49</v>
      </c>
      <c r="P23" s="68">
        <v>49</v>
      </c>
      <c r="Q23" s="90">
        <v>0</v>
      </c>
    </row>
    <row r="24" spans="1:17" ht="20.25" customHeight="1">
      <c r="A24" s="89">
        <v>16</v>
      </c>
      <c r="B24" s="56" t="s">
        <v>327</v>
      </c>
      <c r="C24" s="90">
        <f t="shared" si="1"/>
        <v>3103</v>
      </c>
      <c r="D24" s="90">
        <f t="shared" si="2"/>
        <v>3103</v>
      </c>
      <c r="E24" s="90">
        <f t="shared" si="3"/>
        <v>0</v>
      </c>
      <c r="F24" s="90">
        <f t="shared" si="4"/>
        <v>2060</v>
      </c>
      <c r="G24" s="90">
        <v>2060</v>
      </c>
      <c r="H24" s="90">
        <v>0</v>
      </c>
      <c r="I24" s="90">
        <f t="shared" si="5"/>
        <v>865</v>
      </c>
      <c r="J24" s="90">
        <v>865</v>
      </c>
      <c r="K24" s="90">
        <v>0</v>
      </c>
      <c r="L24" s="90">
        <f t="shared" si="6"/>
        <v>10</v>
      </c>
      <c r="M24" s="90">
        <v>10</v>
      </c>
      <c r="N24" s="90">
        <v>0</v>
      </c>
      <c r="O24" s="90">
        <f t="shared" si="7"/>
        <v>168</v>
      </c>
      <c r="P24" s="68">
        <v>168</v>
      </c>
      <c r="Q24" s="90">
        <v>0</v>
      </c>
    </row>
    <row r="25" spans="1:17" ht="20.25" customHeight="1">
      <c r="A25" s="89">
        <v>17</v>
      </c>
      <c r="B25" s="56" t="s">
        <v>328</v>
      </c>
      <c r="C25" s="90">
        <f t="shared" si="1"/>
        <v>2879</v>
      </c>
      <c r="D25" s="90">
        <f t="shared" si="2"/>
        <v>2879</v>
      </c>
      <c r="E25" s="90">
        <f t="shared" si="3"/>
        <v>0</v>
      </c>
      <c r="F25" s="90">
        <f t="shared" si="4"/>
        <v>1958</v>
      </c>
      <c r="G25" s="90">
        <v>1958</v>
      </c>
      <c r="H25" s="90">
        <v>0</v>
      </c>
      <c r="I25" s="90">
        <f t="shared" si="5"/>
        <v>810</v>
      </c>
      <c r="J25" s="90">
        <v>810</v>
      </c>
      <c r="K25" s="90">
        <v>0</v>
      </c>
      <c r="L25" s="90">
        <f t="shared" si="6"/>
        <v>10</v>
      </c>
      <c r="M25" s="90">
        <v>10</v>
      </c>
      <c r="N25" s="90">
        <v>0</v>
      </c>
      <c r="O25" s="90">
        <f t="shared" si="7"/>
        <v>101</v>
      </c>
      <c r="P25" s="68">
        <v>101</v>
      </c>
      <c r="Q25" s="90">
        <v>0</v>
      </c>
    </row>
    <row r="26" spans="1:17" ht="20.25" customHeight="1">
      <c r="A26" s="89">
        <v>18</v>
      </c>
      <c r="B26" s="56" t="s">
        <v>329</v>
      </c>
      <c r="C26" s="90">
        <f t="shared" si="1"/>
        <v>3155</v>
      </c>
      <c r="D26" s="90">
        <f t="shared" si="2"/>
        <v>3155</v>
      </c>
      <c r="E26" s="90">
        <f t="shared" si="3"/>
        <v>0</v>
      </c>
      <c r="F26" s="90">
        <f t="shared" si="4"/>
        <v>1855</v>
      </c>
      <c r="G26" s="90">
        <v>1855</v>
      </c>
      <c r="H26" s="90">
        <v>0</v>
      </c>
      <c r="I26" s="90">
        <f t="shared" si="5"/>
        <v>988</v>
      </c>
      <c r="J26" s="90">
        <v>988</v>
      </c>
      <c r="K26" s="90">
        <v>0</v>
      </c>
      <c r="L26" s="90">
        <f t="shared" si="6"/>
        <v>10</v>
      </c>
      <c r="M26" s="90">
        <v>10</v>
      </c>
      <c r="N26" s="90">
        <v>0</v>
      </c>
      <c r="O26" s="90">
        <f t="shared" si="7"/>
        <v>302</v>
      </c>
      <c r="P26" s="68">
        <v>302</v>
      </c>
      <c r="Q26" s="90">
        <v>0</v>
      </c>
    </row>
    <row r="27" spans="1:17" ht="20.25" customHeight="1" thickBot="1">
      <c r="A27" s="484">
        <v>19</v>
      </c>
      <c r="B27" s="485" t="s">
        <v>330</v>
      </c>
      <c r="C27" s="486">
        <f t="shared" si="1"/>
        <v>2986</v>
      </c>
      <c r="D27" s="486">
        <f t="shared" si="2"/>
        <v>2986</v>
      </c>
      <c r="E27" s="486">
        <f t="shared" si="3"/>
        <v>0</v>
      </c>
      <c r="F27" s="486">
        <f t="shared" si="4"/>
        <v>1991</v>
      </c>
      <c r="G27" s="486">
        <v>1991</v>
      </c>
      <c r="H27" s="486">
        <v>0</v>
      </c>
      <c r="I27" s="486">
        <f t="shared" si="5"/>
        <v>782</v>
      </c>
      <c r="J27" s="486">
        <v>782</v>
      </c>
      <c r="K27" s="486">
        <v>0</v>
      </c>
      <c r="L27" s="486">
        <f t="shared" si="6"/>
        <v>10</v>
      </c>
      <c r="M27" s="486">
        <v>10</v>
      </c>
      <c r="N27" s="486">
        <v>0</v>
      </c>
      <c r="O27" s="486">
        <f t="shared" si="7"/>
        <v>203</v>
      </c>
      <c r="P27" s="487">
        <v>203</v>
      </c>
      <c r="Q27" s="486">
        <v>0</v>
      </c>
    </row>
    <row r="28" spans="1:17" ht="20.25" customHeight="1" hidden="1">
      <c r="A28" s="418" t="s">
        <v>380</v>
      </c>
      <c r="B28" s="418"/>
      <c r="C28" s="418"/>
      <c r="D28" s="418"/>
      <c r="E28" s="418"/>
      <c r="F28" s="418"/>
      <c r="G28" s="418"/>
      <c r="H28" s="418"/>
      <c r="I28" s="418"/>
      <c r="J28" s="418"/>
      <c r="K28" s="418"/>
      <c r="L28" s="418"/>
      <c r="M28" s="418"/>
      <c r="N28" s="418"/>
      <c r="O28" s="418"/>
      <c r="P28" s="418"/>
      <c r="Q28" s="418"/>
    </row>
    <row r="29" ht="15.75" hidden="1"/>
    <row r="30" ht="15.75" hidden="1"/>
    <row r="31" ht="15.75" hidden="1"/>
    <row r="32" ht="16.5" thickTop="1"/>
  </sheetData>
  <sheetProtection/>
  <mergeCells count="12">
    <mergeCell ref="L5:N5"/>
    <mergeCell ref="O5:Q5"/>
    <mergeCell ref="N1:Q1"/>
    <mergeCell ref="A2:Q2"/>
    <mergeCell ref="A3:Q3"/>
    <mergeCell ref="J4:Q4"/>
    <mergeCell ref="A28:Q28"/>
    <mergeCell ref="A5:A6"/>
    <mergeCell ref="B5:B6"/>
    <mergeCell ref="C5:E5"/>
    <mergeCell ref="F5:H5"/>
    <mergeCell ref="I5:K5"/>
  </mergeCells>
  <printOptions/>
  <pageMargins left="0.47" right="0.35" top="0.48" bottom="0.47" header="0.31496062992125984" footer="0.23"/>
  <pageSetup fitToHeight="0"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rgb="FFFFFF99"/>
    <pageSetUpPr fitToPage="1"/>
  </sheetPr>
  <dimension ref="A1:AO20"/>
  <sheetViews>
    <sheetView view="pageBreakPreview" zoomScale="60" zoomScalePageLayoutView="0" workbookViewId="0" topLeftCell="A1">
      <selection activeCell="A17" sqref="A17:M17"/>
    </sheetView>
  </sheetViews>
  <sheetFormatPr defaultColWidth="8.796875" defaultRowHeight="15"/>
  <cols>
    <col min="1" max="1" width="5.09765625" style="237" customWidth="1"/>
    <col min="2" max="2" width="21.3984375" style="237" customWidth="1"/>
    <col min="3" max="13" width="9.3984375" style="237" customWidth="1"/>
    <col min="14" max="14" width="14.19921875" style="238" customWidth="1"/>
    <col min="15" max="15" width="12.3984375" style="237" customWidth="1"/>
    <col min="16" max="16" width="9.8984375" style="239" customWidth="1"/>
    <col min="17" max="17" width="10.19921875" style="237" customWidth="1"/>
    <col min="18" max="38" width="9" style="237" customWidth="1"/>
    <col min="39" max="16384" width="9" style="237" customWidth="1"/>
  </cols>
  <sheetData>
    <row r="1" spans="1:13" ht="24" customHeight="1">
      <c r="A1" s="62"/>
      <c r="K1" s="426" t="s">
        <v>290</v>
      </c>
      <c r="L1" s="426"/>
      <c r="M1" s="426"/>
    </row>
    <row r="2" spans="1:16" s="13" customFormat="1" ht="37.5" customHeight="1">
      <c r="A2" s="427" t="s">
        <v>298</v>
      </c>
      <c r="B2" s="427"/>
      <c r="C2" s="427"/>
      <c r="D2" s="427"/>
      <c r="E2" s="427"/>
      <c r="F2" s="427"/>
      <c r="G2" s="427"/>
      <c r="H2" s="427"/>
      <c r="I2" s="427"/>
      <c r="J2" s="427"/>
      <c r="K2" s="427"/>
      <c r="L2" s="427"/>
      <c r="M2" s="427"/>
      <c r="N2" s="240"/>
      <c r="P2" s="241"/>
    </row>
    <row r="3" spans="1:16" s="13" customFormat="1" ht="18.75" customHeight="1">
      <c r="A3" s="430" t="str">
        <f>'PL44-NSX'!chuong_phuluc_43_name</f>
        <v>(Kèm theo Nghị quyết số       /NQ-HĐND ngày       tháng 12 năm 2022 của HĐND huyện Tuần Giáo)</v>
      </c>
      <c r="B3" s="430"/>
      <c r="C3" s="430"/>
      <c r="D3" s="430"/>
      <c r="E3" s="430"/>
      <c r="F3" s="430"/>
      <c r="G3" s="430"/>
      <c r="H3" s="430"/>
      <c r="I3" s="430"/>
      <c r="J3" s="430"/>
      <c r="K3" s="430"/>
      <c r="L3" s="430"/>
      <c r="M3" s="430"/>
      <c r="N3" s="240"/>
      <c r="P3" s="241"/>
    </row>
    <row r="4" spans="3:15" ht="27" customHeight="1">
      <c r="C4" s="242"/>
      <c r="I4" s="243"/>
      <c r="J4" s="428" t="s">
        <v>267</v>
      </c>
      <c r="K4" s="428"/>
      <c r="L4" s="428"/>
      <c r="M4" s="428"/>
      <c r="N4" s="240"/>
      <c r="O4" s="244"/>
    </row>
    <row r="5" spans="1:16" s="15" customFormat="1" ht="20.25" customHeight="1">
      <c r="A5" s="419" t="s">
        <v>62</v>
      </c>
      <c r="B5" s="429" t="s">
        <v>268</v>
      </c>
      <c r="C5" s="425" t="s">
        <v>269</v>
      </c>
      <c r="D5" s="422" t="s">
        <v>270</v>
      </c>
      <c r="E5" s="423"/>
      <c r="F5" s="423"/>
      <c r="G5" s="424"/>
      <c r="H5" s="419" t="s">
        <v>273</v>
      </c>
      <c r="I5" s="422" t="s">
        <v>300</v>
      </c>
      <c r="J5" s="423"/>
      <c r="K5" s="423"/>
      <c r="L5" s="424"/>
      <c r="M5" s="419" t="s">
        <v>274</v>
      </c>
      <c r="N5" s="245"/>
      <c r="P5" s="241"/>
    </row>
    <row r="6" spans="1:16" s="15" customFormat="1" ht="45" customHeight="1">
      <c r="A6" s="420"/>
      <c r="B6" s="429"/>
      <c r="C6" s="425"/>
      <c r="D6" s="425" t="s">
        <v>271</v>
      </c>
      <c r="E6" s="425"/>
      <c r="F6" s="425" t="s">
        <v>272</v>
      </c>
      <c r="G6" s="425" t="s">
        <v>285</v>
      </c>
      <c r="H6" s="420"/>
      <c r="I6" s="425" t="s">
        <v>271</v>
      </c>
      <c r="J6" s="425"/>
      <c r="K6" s="425" t="s">
        <v>272</v>
      </c>
      <c r="L6" s="425" t="s">
        <v>285</v>
      </c>
      <c r="M6" s="420"/>
      <c r="N6" s="245"/>
      <c r="P6" s="241"/>
    </row>
    <row r="7" spans="1:16" s="15" customFormat="1" ht="61.5" customHeight="1">
      <c r="A7" s="420"/>
      <c r="B7" s="429"/>
      <c r="C7" s="425"/>
      <c r="D7" s="94" t="s">
        <v>81</v>
      </c>
      <c r="E7" s="94" t="s">
        <v>275</v>
      </c>
      <c r="F7" s="425"/>
      <c r="G7" s="425"/>
      <c r="H7" s="421"/>
      <c r="I7" s="94" t="s">
        <v>81</v>
      </c>
      <c r="J7" s="94" t="s">
        <v>275</v>
      </c>
      <c r="K7" s="425"/>
      <c r="L7" s="425"/>
      <c r="M7" s="421"/>
      <c r="N7" s="245"/>
      <c r="P7" s="17"/>
    </row>
    <row r="8" spans="1:18" s="17" customFormat="1" ht="21.75" customHeight="1">
      <c r="A8" s="16" t="s">
        <v>10</v>
      </c>
      <c r="B8" s="16" t="s">
        <v>11</v>
      </c>
      <c r="C8" s="16">
        <v>1</v>
      </c>
      <c r="D8" s="16">
        <v>2</v>
      </c>
      <c r="E8" s="16">
        <v>3</v>
      </c>
      <c r="F8" s="16">
        <v>4</v>
      </c>
      <c r="G8" s="16" t="s">
        <v>286</v>
      </c>
      <c r="H8" s="16" t="s">
        <v>287</v>
      </c>
      <c r="I8" s="16">
        <v>7</v>
      </c>
      <c r="J8" s="16">
        <v>8</v>
      </c>
      <c r="K8" s="16">
        <v>9</v>
      </c>
      <c r="L8" s="16" t="s">
        <v>288</v>
      </c>
      <c r="M8" s="16" t="s">
        <v>289</v>
      </c>
      <c r="N8" s="246"/>
      <c r="O8" s="15"/>
      <c r="P8" s="241"/>
      <c r="Q8" s="15"/>
      <c r="R8" s="240"/>
    </row>
    <row r="9" spans="1:18" s="18" customFormat="1" ht="24.75" customHeight="1">
      <c r="A9" s="95"/>
      <c r="B9" s="247" t="s">
        <v>276</v>
      </c>
      <c r="C9" s="248">
        <f>SUM(C10:C17)</f>
        <v>2009.272336</v>
      </c>
      <c r="D9" s="248">
        <f aca="true" t="shared" si="0" ref="D9:M9">SUM(D10:D17)</f>
        <v>1735</v>
      </c>
      <c r="E9" s="248">
        <f t="shared" si="0"/>
        <v>100</v>
      </c>
      <c r="F9" s="248">
        <f t="shared" si="0"/>
        <v>2120.777561</v>
      </c>
      <c r="G9" s="248">
        <f t="shared" si="0"/>
        <v>-385.777561</v>
      </c>
      <c r="H9" s="248">
        <f t="shared" si="0"/>
        <v>1623.4947750000001</v>
      </c>
      <c r="I9" s="248">
        <f t="shared" si="0"/>
        <v>1970</v>
      </c>
      <c r="J9" s="248">
        <f t="shared" si="0"/>
        <v>230</v>
      </c>
      <c r="K9" s="248">
        <f t="shared" si="0"/>
        <v>2113</v>
      </c>
      <c r="L9" s="248">
        <f t="shared" si="0"/>
        <v>-143</v>
      </c>
      <c r="M9" s="248">
        <f t="shared" si="0"/>
        <v>1480.4947750000001</v>
      </c>
      <c r="N9" s="249"/>
      <c r="O9" s="250"/>
      <c r="P9" s="251"/>
      <c r="Q9" s="251"/>
      <c r="R9" s="15"/>
    </row>
    <row r="10" spans="1:18" s="19" customFormat="1" ht="24.75" customHeight="1">
      <c r="A10" s="252">
        <v>1</v>
      </c>
      <c r="B10" s="253" t="s">
        <v>277</v>
      </c>
      <c r="C10" s="254">
        <v>629.839295</v>
      </c>
      <c r="D10" s="254">
        <v>20</v>
      </c>
      <c r="E10" s="254"/>
      <c r="F10" s="254">
        <v>150</v>
      </c>
      <c r="G10" s="254">
        <f>D10-F10</f>
        <v>-130</v>
      </c>
      <c r="H10" s="254">
        <f>C10+D10-F10</f>
        <v>499.839295</v>
      </c>
      <c r="I10" s="254">
        <v>10</v>
      </c>
      <c r="J10" s="254"/>
      <c r="K10" s="254">
        <v>160</v>
      </c>
      <c r="L10" s="254">
        <f>I10-K10</f>
        <v>-150</v>
      </c>
      <c r="M10" s="254">
        <f>H10+I10-K10</f>
        <v>349.839295</v>
      </c>
      <c r="N10" s="240"/>
      <c r="O10" s="240"/>
      <c r="P10" s="255"/>
      <c r="Q10" s="255"/>
      <c r="R10" s="15"/>
    </row>
    <row r="11" spans="1:18" s="19" customFormat="1" ht="24.75" customHeight="1">
      <c r="A11" s="252">
        <v>2</v>
      </c>
      <c r="B11" s="253" t="s">
        <v>278</v>
      </c>
      <c r="C11" s="254">
        <v>17.777561</v>
      </c>
      <c r="D11" s="254">
        <v>360</v>
      </c>
      <c r="E11" s="254"/>
      <c r="F11" s="254">
        <v>377.777561</v>
      </c>
      <c r="G11" s="254">
        <f aca="true" t="shared" si="1" ref="G11:G17">D11-F11</f>
        <v>-17.77756099999999</v>
      </c>
      <c r="H11" s="254">
        <f aca="true" t="shared" si="2" ref="H11:H17">C11+D11-F11</f>
        <v>0</v>
      </c>
      <c r="I11" s="254">
        <v>350</v>
      </c>
      <c r="J11" s="254"/>
      <c r="K11" s="254">
        <v>350</v>
      </c>
      <c r="L11" s="254">
        <f aca="true" t="shared" si="3" ref="L11:L17">I11-K11</f>
        <v>0</v>
      </c>
      <c r="M11" s="254">
        <f aca="true" t="shared" si="4" ref="M11:M17">H11+I11-K11</f>
        <v>0</v>
      </c>
      <c r="N11" s="240"/>
      <c r="O11" s="240"/>
      <c r="P11" s="255"/>
      <c r="Q11" s="255"/>
      <c r="R11" s="15"/>
    </row>
    <row r="12" spans="1:18" s="19" customFormat="1" ht="24.75" customHeight="1">
      <c r="A12" s="252">
        <v>3</v>
      </c>
      <c r="B12" s="256" t="s">
        <v>279</v>
      </c>
      <c r="C12" s="254">
        <v>146.355</v>
      </c>
      <c r="D12" s="254">
        <v>175</v>
      </c>
      <c r="E12" s="254"/>
      <c r="F12" s="254">
        <v>200</v>
      </c>
      <c r="G12" s="254">
        <f t="shared" si="1"/>
        <v>-25</v>
      </c>
      <c r="H12" s="254">
        <f t="shared" si="2"/>
        <v>121.35500000000002</v>
      </c>
      <c r="I12" s="254">
        <v>300</v>
      </c>
      <c r="J12" s="254"/>
      <c r="K12" s="254">
        <v>280</v>
      </c>
      <c r="L12" s="254">
        <f t="shared" si="3"/>
        <v>20</v>
      </c>
      <c r="M12" s="254">
        <f t="shared" si="4"/>
        <v>141.35500000000002</v>
      </c>
      <c r="N12" s="240"/>
      <c r="O12" s="240"/>
      <c r="P12" s="255"/>
      <c r="Q12" s="255"/>
      <c r="R12" s="15"/>
    </row>
    <row r="13" spans="1:41" s="19" customFormat="1" ht="24.75" customHeight="1">
      <c r="A13" s="252">
        <v>4</v>
      </c>
      <c r="B13" s="253" t="s">
        <v>280</v>
      </c>
      <c r="C13" s="254">
        <v>224.201685</v>
      </c>
      <c r="D13" s="254">
        <v>300</v>
      </c>
      <c r="E13" s="254"/>
      <c r="F13" s="254">
        <v>380</v>
      </c>
      <c r="G13" s="254">
        <f t="shared" si="1"/>
        <v>-80</v>
      </c>
      <c r="H13" s="254">
        <f t="shared" si="2"/>
        <v>144.201685</v>
      </c>
      <c r="I13" s="254">
        <v>300</v>
      </c>
      <c r="J13" s="254"/>
      <c r="K13" s="254">
        <v>350</v>
      </c>
      <c r="L13" s="254">
        <f t="shared" si="3"/>
        <v>-50</v>
      </c>
      <c r="M13" s="254">
        <f t="shared" si="4"/>
        <v>94.201685</v>
      </c>
      <c r="N13" s="240"/>
      <c r="O13" s="15"/>
      <c r="P13" s="255"/>
      <c r="Q13" s="255"/>
      <c r="R13" s="240"/>
      <c r="AN13" s="20"/>
      <c r="AO13" s="20"/>
    </row>
    <row r="14" spans="1:41" s="19" customFormat="1" ht="24.75" customHeight="1">
      <c r="A14" s="252">
        <v>5</v>
      </c>
      <c r="B14" s="253" t="s">
        <v>281</v>
      </c>
      <c r="C14" s="254">
        <v>132.821493</v>
      </c>
      <c r="D14" s="254">
        <v>300</v>
      </c>
      <c r="E14" s="254"/>
      <c r="F14" s="254">
        <v>350</v>
      </c>
      <c r="G14" s="254">
        <f t="shared" si="1"/>
        <v>-50</v>
      </c>
      <c r="H14" s="254">
        <f t="shared" si="2"/>
        <v>82.82149300000003</v>
      </c>
      <c r="I14" s="254">
        <v>300</v>
      </c>
      <c r="J14" s="254"/>
      <c r="K14" s="254">
        <v>300</v>
      </c>
      <c r="L14" s="254">
        <f t="shared" si="3"/>
        <v>0</v>
      </c>
      <c r="M14" s="254">
        <f t="shared" si="4"/>
        <v>82.82149300000003</v>
      </c>
      <c r="N14" s="240"/>
      <c r="O14" s="15"/>
      <c r="P14" s="255"/>
      <c r="Q14" s="255"/>
      <c r="R14" s="240"/>
      <c r="AN14" s="20"/>
      <c r="AO14" s="20"/>
    </row>
    <row r="15" spans="1:18" s="19" customFormat="1" ht="24.75" customHeight="1">
      <c r="A15" s="252">
        <v>6</v>
      </c>
      <c r="B15" s="253" t="s">
        <v>282</v>
      </c>
      <c r="C15" s="254">
        <v>403.031626</v>
      </c>
      <c r="D15" s="254">
        <v>400</v>
      </c>
      <c r="E15" s="254"/>
      <c r="F15" s="254">
        <v>400</v>
      </c>
      <c r="G15" s="254">
        <f t="shared" si="1"/>
        <v>0</v>
      </c>
      <c r="H15" s="254">
        <f t="shared" si="2"/>
        <v>403.03162599999996</v>
      </c>
      <c r="I15" s="254">
        <v>400</v>
      </c>
      <c r="J15" s="254"/>
      <c r="K15" s="254">
        <v>400</v>
      </c>
      <c r="L15" s="254">
        <f t="shared" si="3"/>
        <v>0</v>
      </c>
      <c r="M15" s="254">
        <f t="shared" si="4"/>
        <v>403.03162599999996</v>
      </c>
      <c r="N15" s="240"/>
      <c r="O15" s="15"/>
      <c r="P15" s="255"/>
      <c r="Q15" s="255"/>
      <c r="R15" s="15"/>
    </row>
    <row r="16" spans="1:18" s="19" customFormat="1" ht="24.75" customHeight="1">
      <c r="A16" s="252">
        <v>7</v>
      </c>
      <c r="B16" s="253" t="s">
        <v>284</v>
      </c>
      <c r="C16" s="254">
        <v>339.545676</v>
      </c>
      <c r="D16" s="254">
        <v>80</v>
      </c>
      <c r="E16" s="254"/>
      <c r="F16" s="254">
        <v>53</v>
      </c>
      <c r="G16" s="254">
        <f t="shared" si="1"/>
        <v>27</v>
      </c>
      <c r="H16" s="254">
        <f t="shared" si="2"/>
        <v>366.545676</v>
      </c>
      <c r="I16" s="254">
        <v>80</v>
      </c>
      <c r="J16" s="254"/>
      <c r="K16" s="254">
        <v>53</v>
      </c>
      <c r="L16" s="254">
        <f t="shared" si="3"/>
        <v>27</v>
      </c>
      <c r="M16" s="254">
        <f t="shared" si="4"/>
        <v>393.545676</v>
      </c>
      <c r="N16" s="240"/>
      <c r="O16" s="15"/>
      <c r="P16" s="255"/>
      <c r="Q16" s="255"/>
      <c r="R16" s="15"/>
    </row>
    <row r="17" spans="1:18" s="19" customFormat="1" ht="24.75" customHeight="1" thickBot="1">
      <c r="A17" s="488">
        <v>8</v>
      </c>
      <c r="B17" s="489" t="s">
        <v>283</v>
      </c>
      <c r="C17" s="490">
        <v>115.7</v>
      </c>
      <c r="D17" s="490">
        <v>100</v>
      </c>
      <c r="E17" s="490">
        <v>100</v>
      </c>
      <c r="F17" s="490">
        <v>210</v>
      </c>
      <c r="G17" s="490">
        <f t="shared" si="1"/>
        <v>-110</v>
      </c>
      <c r="H17" s="490">
        <f t="shared" si="2"/>
        <v>5.699999999999989</v>
      </c>
      <c r="I17" s="490">
        <v>230</v>
      </c>
      <c r="J17" s="490">
        <v>230</v>
      </c>
      <c r="K17" s="490">
        <v>220</v>
      </c>
      <c r="L17" s="490">
        <f t="shared" si="3"/>
        <v>10</v>
      </c>
      <c r="M17" s="490">
        <f t="shared" si="4"/>
        <v>15.699999999999989</v>
      </c>
      <c r="N17" s="240"/>
      <c r="O17" s="15"/>
      <c r="P17" s="255"/>
      <c r="Q17" s="255"/>
      <c r="R17" s="15"/>
    </row>
    <row r="18" spans="14:18" ht="9.75" customHeight="1" thickTop="1">
      <c r="N18" s="257"/>
      <c r="O18" s="14"/>
      <c r="P18" s="258"/>
      <c r="Q18" s="14"/>
      <c r="R18" s="14"/>
    </row>
    <row r="19" spans="9:18" ht="18.75">
      <c r="I19" s="259"/>
      <c r="N19" s="257"/>
      <c r="O19" s="14"/>
      <c r="P19" s="258"/>
      <c r="Q19" s="14"/>
      <c r="R19" s="14"/>
    </row>
    <row r="20" ht="18.75">
      <c r="I20" s="260"/>
    </row>
  </sheetData>
  <sheetProtection/>
  <mergeCells count="17">
    <mergeCell ref="K1:M1"/>
    <mergeCell ref="A2:M2"/>
    <mergeCell ref="J4:M4"/>
    <mergeCell ref="A5:A7"/>
    <mergeCell ref="B5:B7"/>
    <mergeCell ref="C5:C7"/>
    <mergeCell ref="D5:G5"/>
    <mergeCell ref="K6:K7"/>
    <mergeCell ref="H5:H7"/>
    <mergeCell ref="A3:M3"/>
    <mergeCell ref="M5:M7"/>
    <mergeCell ref="I5:L5"/>
    <mergeCell ref="L6:L7"/>
    <mergeCell ref="G6:G7"/>
    <mergeCell ref="D6:E6"/>
    <mergeCell ref="F6:F7"/>
    <mergeCell ref="I6:J6"/>
  </mergeCells>
  <printOptions/>
  <pageMargins left="0.31496062992125984" right="0.2755905511811024" top="0.3937007874015748" bottom="0.7480314960629921" header="0.31496062992125984" footer="0.31496062992125984"/>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99"/>
    <pageSetUpPr fitToPage="1"/>
  </sheetPr>
  <dimension ref="A1:F18"/>
  <sheetViews>
    <sheetView tabSelected="1" view="pageBreakPreview" zoomScale="130" zoomScaleSheetLayoutView="130" zoomScalePageLayoutView="0" workbookViewId="0" topLeftCell="A5">
      <selection activeCell="H10" sqref="H10"/>
    </sheetView>
  </sheetViews>
  <sheetFormatPr defaultColWidth="8.796875" defaultRowHeight="15"/>
  <cols>
    <col min="1" max="1" width="5.59765625" style="22" customWidth="1"/>
    <col min="2" max="2" width="40.5" style="22" customWidth="1"/>
    <col min="3" max="5" width="13.3984375" style="22" customWidth="1"/>
    <col min="6" max="16384" width="9" style="22" customWidth="1"/>
  </cols>
  <sheetData>
    <row r="1" spans="1:6" ht="25.5" customHeight="1">
      <c r="A1" s="39"/>
      <c r="B1" s="197"/>
      <c r="C1" s="197"/>
      <c r="D1" s="197"/>
      <c r="E1" s="198" t="s">
        <v>296</v>
      </c>
      <c r="F1" s="27"/>
    </row>
    <row r="2" spans="1:5" ht="51" customHeight="1">
      <c r="A2" s="431" t="s">
        <v>297</v>
      </c>
      <c r="B2" s="431"/>
      <c r="C2" s="431"/>
      <c r="D2" s="431"/>
      <c r="E2" s="431"/>
    </row>
    <row r="3" spans="1:5" ht="19.5" customHeight="1">
      <c r="A3" s="432" t="str">
        <f>'PL45-Quỹ'!A3:M3</f>
        <v>(Kèm theo Nghị quyết số       /NQ-HĐND ngày       tháng 12 năm 2022 của HĐND huyện Tuần Giáo)</v>
      </c>
      <c r="B3" s="432"/>
      <c r="C3" s="432"/>
      <c r="D3" s="432"/>
      <c r="E3" s="432"/>
    </row>
    <row r="4" spans="1:5" ht="30.75" customHeight="1">
      <c r="A4" s="197"/>
      <c r="B4" s="197"/>
      <c r="C4" s="197"/>
      <c r="D4" s="433" t="s">
        <v>291</v>
      </c>
      <c r="E4" s="433"/>
    </row>
    <row r="5" spans="1:5" s="9" customFormat="1" ht="57.75" customHeight="1">
      <c r="A5" s="23" t="s">
        <v>62</v>
      </c>
      <c r="B5" s="23" t="s">
        <v>6</v>
      </c>
      <c r="C5" s="23" t="s">
        <v>270</v>
      </c>
      <c r="D5" s="23" t="s">
        <v>300</v>
      </c>
      <c r="E5" s="23" t="s">
        <v>96</v>
      </c>
    </row>
    <row r="6" spans="1:5" s="9" customFormat="1" ht="17.25" customHeight="1">
      <c r="A6" s="24" t="s">
        <v>10</v>
      </c>
      <c r="B6" s="24" t="s">
        <v>11</v>
      </c>
      <c r="C6" s="24">
        <v>1</v>
      </c>
      <c r="D6" s="24">
        <v>2</v>
      </c>
      <c r="E6" s="24" t="s">
        <v>299</v>
      </c>
    </row>
    <row r="7" spans="1:5" s="3" customFormat="1" ht="24.75" customHeight="1">
      <c r="A7" s="199"/>
      <c r="B7" s="200" t="s">
        <v>31</v>
      </c>
      <c r="C7" s="201">
        <v>721</v>
      </c>
      <c r="D7" s="201">
        <v>566</v>
      </c>
      <c r="E7" s="202">
        <f>D7/C7*100</f>
        <v>78.50208044382802</v>
      </c>
    </row>
    <row r="8" spans="1:5" s="3" customFormat="1" ht="24.75" customHeight="1">
      <c r="A8" s="203">
        <v>1</v>
      </c>
      <c r="B8" s="204" t="s">
        <v>292</v>
      </c>
      <c r="C8" s="205">
        <v>177</v>
      </c>
      <c r="D8" s="205">
        <v>46</v>
      </c>
      <c r="E8" s="206">
        <f aca="true" t="shared" si="0" ref="E8:E15">D8/C8*100</f>
        <v>25.98870056497175</v>
      </c>
    </row>
    <row r="9" spans="1:5" s="3" customFormat="1" ht="24.75" customHeight="1">
      <c r="A9" s="207"/>
      <c r="B9" s="204" t="s">
        <v>234</v>
      </c>
      <c r="C9" s="208">
        <v>177</v>
      </c>
      <c r="D9" s="208">
        <v>46</v>
      </c>
      <c r="E9" s="206">
        <f t="shared" si="0"/>
        <v>25.98870056497175</v>
      </c>
    </row>
    <row r="10" spans="1:5" s="3" customFormat="1" ht="24.75" customHeight="1">
      <c r="A10" s="203">
        <v>2</v>
      </c>
      <c r="B10" s="204" t="s">
        <v>40</v>
      </c>
      <c r="C10" s="205">
        <v>65</v>
      </c>
      <c r="D10" s="205">
        <v>65</v>
      </c>
      <c r="E10" s="206">
        <f t="shared" si="0"/>
        <v>100</v>
      </c>
    </row>
    <row r="11" spans="1:5" s="3" customFormat="1" ht="24.75" customHeight="1">
      <c r="A11" s="203"/>
      <c r="B11" s="204" t="s">
        <v>293</v>
      </c>
      <c r="C11" s="205">
        <v>65</v>
      </c>
      <c r="D11" s="209">
        <v>65</v>
      </c>
      <c r="E11" s="206">
        <f t="shared" si="0"/>
        <v>100</v>
      </c>
    </row>
    <row r="12" spans="1:5" ht="24.75" customHeight="1">
      <c r="A12" s="203">
        <f>A10+1</f>
        <v>3</v>
      </c>
      <c r="B12" s="204" t="s">
        <v>294</v>
      </c>
      <c r="C12" s="205">
        <v>75</v>
      </c>
      <c r="D12" s="205">
        <v>75</v>
      </c>
      <c r="E12" s="206">
        <f t="shared" si="0"/>
        <v>100</v>
      </c>
    </row>
    <row r="13" spans="1:5" ht="24.75" customHeight="1">
      <c r="A13" s="203"/>
      <c r="B13" s="204" t="s">
        <v>293</v>
      </c>
      <c r="C13" s="205">
        <v>75</v>
      </c>
      <c r="D13" s="209">
        <v>75</v>
      </c>
      <c r="E13" s="206">
        <f t="shared" si="0"/>
        <v>100</v>
      </c>
    </row>
    <row r="14" spans="1:5" ht="24.75" customHeight="1">
      <c r="A14" s="203">
        <v>4</v>
      </c>
      <c r="B14" s="204" t="s">
        <v>233</v>
      </c>
      <c r="C14" s="205">
        <v>404</v>
      </c>
      <c r="D14" s="205">
        <v>380</v>
      </c>
      <c r="E14" s="206">
        <f t="shared" si="0"/>
        <v>94.05940594059405</v>
      </c>
    </row>
    <row r="15" spans="1:5" ht="24.75" customHeight="1" thickBot="1">
      <c r="A15" s="491"/>
      <c r="B15" s="492" t="s">
        <v>295</v>
      </c>
      <c r="C15" s="493">
        <v>404</v>
      </c>
      <c r="D15" s="494">
        <v>380</v>
      </c>
      <c r="E15" s="495">
        <f t="shared" si="0"/>
        <v>94.05940594059405</v>
      </c>
    </row>
    <row r="16" ht="13.5" thickTop="1"/>
    <row r="17" ht="15.75">
      <c r="C17" s="25"/>
    </row>
    <row r="18" ht="15.75">
      <c r="C18" s="26"/>
    </row>
  </sheetData>
  <sheetProtection/>
  <mergeCells count="3">
    <mergeCell ref="A2:E2"/>
    <mergeCell ref="A3:E3"/>
    <mergeCell ref="D4:E4"/>
  </mergeCells>
  <printOptions/>
  <pageMargins left="0.5511811023622047" right="0.3937007874015748" top="0.7480314960629921" bottom="0.7480314960629921" header="0.31496062992125984" footer="0.31496062992125984"/>
  <pageSetup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99"/>
    <pageSetUpPr fitToPage="1"/>
  </sheetPr>
  <dimension ref="A1:J39"/>
  <sheetViews>
    <sheetView view="pageBreakPreview" zoomScale="60" zoomScalePageLayoutView="0" workbookViewId="0" topLeftCell="A1">
      <selection activeCell="A39" sqref="A39:H39"/>
    </sheetView>
  </sheetViews>
  <sheetFormatPr defaultColWidth="8.796875" defaultRowHeight="15"/>
  <cols>
    <col min="1" max="1" width="5.5" style="67" customWidth="1"/>
    <col min="2" max="2" width="41.5" style="67" customWidth="1"/>
    <col min="3" max="8" width="10.59765625" style="67" customWidth="1"/>
    <col min="9" max="9" width="6" style="67" customWidth="1"/>
    <col min="10" max="16384" width="9" style="67" customWidth="1"/>
  </cols>
  <sheetData>
    <row r="1" spans="1:8" ht="34.5" customHeight="1">
      <c r="A1" s="99"/>
      <c r="B1" s="100"/>
      <c r="C1" s="101"/>
      <c r="D1" s="101"/>
      <c r="E1" s="101"/>
      <c r="F1" s="101"/>
      <c r="H1" s="102" t="s">
        <v>221</v>
      </c>
    </row>
    <row r="2" spans="1:8" ht="32.25" customHeight="1">
      <c r="A2" s="365" t="s">
        <v>303</v>
      </c>
      <c r="B2" s="365"/>
      <c r="C2" s="365"/>
      <c r="D2" s="365"/>
      <c r="E2" s="365"/>
      <c r="F2" s="365"/>
      <c r="G2" s="365"/>
      <c r="H2" s="365"/>
    </row>
    <row r="3" spans="1:8" ht="21" customHeight="1">
      <c r="A3" s="368" t="str">
        <f>PL15!A3</f>
        <v>(Kèm theo Nghị quyết số       /NQ-HĐND ngày       tháng 12 năm 2022 của HĐND huyện Tuần Giáo)</v>
      </c>
      <c r="B3" s="368"/>
      <c r="C3" s="368"/>
      <c r="D3" s="368"/>
      <c r="E3" s="368"/>
      <c r="F3" s="368"/>
      <c r="G3" s="368"/>
      <c r="H3" s="368"/>
    </row>
    <row r="4" spans="1:8" ht="19.5" customHeight="1">
      <c r="A4" s="121"/>
      <c r="B4" s="121"/>
      <c r="G4" s="122"/>
      <c r="H4" s="100" t="s">
        <v>92</v>
      </c>
    </row>
    <row r="5" spans="1:8" ht="27" customHeight="1">
      <c r="A5" s="369" t="s">
        <v>62</v>
      </c>
      <c r="B5" s="366" t="s">
        <v>6</v>
      </c>
      <c r="C5" s="366" t="s">
        <v>270</v>
      </c>
      <c r="D5" s="366"/>
      <c r="E5" s="366" t="s">
        <v>304</v>
      </c>
      <c r="F5" s="367"/>
      <c r="G5" s="366" t="s">
        <v>96</v>
      </c>
      <c r="H5" s="366"/>
    </row>
    <row r="6" spans="1:8" ht="23.25" customHeight="1">
      <c r="A6" s="369"/>
      <c r="B6" s="366"/>
      <c r="C6" s="91" t="s">
        <v>8</v>
      </c>
      <c r="D6" s="91" t="s">
        <v>4</v>
      </c>
      <c r="E6" s="91" t="s">
        <v>8</v>
      </c>
      <c r="F6" s="91" t="s">
        <v>4</v>
      </c>
      <c r="G6" s="91" t="s">
        <v>8</v>
      </c>
      <c r="H6" s="91" t="s">
        <v>4</v>
      </c>
    </row>
    <row r="7" spans="1:8" ht="29.25" customHeight="1">
      <c r="A7" s="369"/>
      <c r="B7" s="366"/>
      <c r="C7" s="91" t="s">
        <v>5</v>
      </c>
      <c r="D7" s="91" t="s">
        <v>9</v>
      </c>
      <c r="E7" s="91" t="s">
        <v>5</v>
      </c>
      <c r="F7" s="91" t="s">
        <v>9</v>
      </c>
      <c r="G7" s="91" t="s">
        <v>5</v>
      </c>
      <c r="H7" s="91" t="s">
        <v>9</v>
      </c>
    </row>
    <row r="8" spans="1:8" ht="20.25" customHeight="1">
      <c r="A8" s="66" t="s">
        <v>10</v>
      </c>
      <c r="B8" s="66" t="s">
        <v>11</v>
      </c>
      <c r="C8" s="66">
        <v>1</v>
      </c>
      <c r="D8" s="66">
        <f>C8+1</f>
        <v>2</v>
      </c>
      <c r="E8" s="66">
        <f>D8+1</f>
        <v>3</v>
      </c>
      <c r="F8" s="66">
        <f>E8+1</f>
        <v>4</v>
      </c>
      <c r="G8" s="66" t="s">
        <v>65</v>
      </c>
      <c r="H8" s="66" t="s">
        <v>66</v>
      </c>
    </row>
    <row r="9" spans="1:10" ht="20.25" customHeight="1">
      <c r="A9" s="91"/>
      <c r="B9" s="117" t="s">
        <v>107</v>
      </c>
      <c r="C9" s="114">
        <f>C10+C40</f>
        <v>55600</v>
      </c>
      <c r="D9" s="114">
        <f>D10+D40</f>
        <v>50210</v>
      </c>
      <c r="E9" s="114">
        <f>E10+E40</f>
        <v>54000</v>
      </c>
      <c r="F9" s="114">
        <f>F10+F40</f>
        <v>50600</v>
      </c>
      <c r="G9" s="119">
        <f>E9/C9*100</f>
        <v>97.12230215827337</v>
      </c>
      <c r="H9" s="119">
        <f>F9/D9*100</f>
        <v>100.77673770165305</v>
      </c>
      <c r="I9" s="123"/>
      <c r="J9" s="123"/>
    </row>
    <row r="10" spans="1:8" ht="20.25" customHeight="1">
      <c r="A10" s="91" t="s">
        <v>21</v>
      </c>
      <c r="B10" s="117" t="s">
        <v>12</v>
      </c>
      <c r="C10" s="114">
        <f>C15+C21+C19+C27+C28+C20+C35+C29+C34+C22+C36+C39+C11</f>
        <v>55600</v>
      </c>
      <c r="D10" s="114">
        <f>D15+D21+D19+D27+D28+D20+D35+D29+D34+D22+D36+D39+D11</f>
        <v>50210</v>
      </c>
      <c r="E10" s="114">
        <f>E15+E21+E19+E27+E28+E20+E35+E29+E34+E22+E36+E39+E11</f>
        <v>54000</v>
      </c>
      <c r="F10" s="114">
        <f>F15+F21+F19+F27+F28+F20+F35+F29+F34+F22+F36+F39+F11</f>
        <v>50600</v>
      </c>
      <c r="G10" s="119">
        <f>E10/C10*100</f>
        <v>97.12230215827337</v>
      </c>
      <c r="H10" s="119">
        <f>F10/D10*100</f>
        <v>100.77673770165305</v>
      </c>
    </row>
    <row r="11" spans="1:8" ht="20.25" customHeight="1">
      <c r="A11" s="66">
        <v>1</v>
      </c>
      <c r="B11" s="115" t="s">
        <v>305</v>
      </c>
      <c r="C11" s="113">
        <f>SUM(C12:C14)</f>
        <v>1560</v>
      </c>
      <c r="D11" s="113">
        <f>SUM(D12:D14)</f>
        <v>1560</v>
      </c>
      <c r="E11" s="113">
        <f>SUM(E12:E14)</f>
        <v>1000</v>
      </c>
      <c r="F11" s="113">
        <f>SUM(F12:F14)</f>
        <v>1000</v>
      </c>
      <c r="G11" s="120"/>
      <c r="H11" s="120"/>
    </row>
    <row r="12" spans="1:8" s="122" customFormat="1" ht="20.25" customHeight="1">
      <c r="A12" s="66"/>
      <c r="B12" s="115" t="s">
        <v>306</v>
      </c>
      <c r="C12" s="113">
        <v>30</v>
      </c>
      <c r="D12" s="113">
        <v>30</v>
      </c>
      <c r="E12" s="113"/>
      <c r="F12" s="113"/>
      <c r="G12" s="120"/>
      <c r="H12" s="120"/>
    </row>
    <row r="13" spans="1:8" s="122" customFormat="1" ht="20.25" customHeight="1">
      <c r="A13" s="66"/>
      <c r="B13" s="115" t="s">
        <v>207</v>
      </c>
      <c r="C13" s="113">
        <v>30</v>
      </c>
      <c r="D13" s="113">
        <v>30</v>
      </c>
      <c r="E13" s="113"/>
      <c r="F13" s="113"/>
      <c r="G13" s="120"/>
      <c r="H13" s="120"/>
    </row>
    <row r="14" spans="1:8" s="122" customFormat="1" ht="20.25" customHeight="1">
      <c r="A14" s="66"/>
      <c r="B14" s="115" t="s">
        <v>208</v>
      </c>
      <c r="C14" s="113">
        <v>1500</v>
      </c>
      <c r="D14" s="113">
        <v>1500</v>
      </c>
      <c r="E14" s="113">
        <v>1000</v>
      </c>
      <c r="F14" s="113">
        <v>1000</v>
      </c>
      <c r="G14" s="120"/>
      <c r="H14" s="120"/>
    </row>
    <row r="15" spans="1:8" s="122" customFormat="1" ht="20.25" customHeight="1">
      <c r="A15" s="66">
        <v>2</v>
      </c>
      <c r="B15" s="115" t="s">
        <v>3</v>
      </c>
      <c r="C15" s="113">
        <f>SUM(C16:C18)</f>
        <v>24340</v>
      </c>
      <c r="D15" s="113">
        <f>SUM(D16:D18)</f>
        <v>24340</v>
      </c>
      <c r="E15" s="113">
        <f>SUM(E16:E18)</f>
        <v>21300</v>
      </c>
      <c r="F15" s="113">
        <f>SUM(F16:F18)</f>
        <v>21300</v>
      </c>
      <c r="G15" s="120">
        <f aca="true" t="shared" si="0" ref="G15:H30">E15/C15*100</f>
        <v>87.51027115858669</v>
      </c>
      <c r="H15" s="120">
        <f t="shared" si="0"/>
        <v>87.51027115858669</v>
      </c>
    </row>
    <row r="16" spans="1:8" ht="20.25" customHeight="1">
      <c r="A16" s="116" t="s">
        <v>18</v>
      </c>
      <c r="B16" s="115" t="s">
        <v>206</v>
      </c>
      <c r="C16" s="113">
        <v>6370</v>
      </c>
      <c r="D16" s="113">
        <v>6370</v>
      </c>
      <c r="E16" s="113">
        <v>8000</v>
      </c>
      <c r="F16" s="113">
        <v>8000</v>
      </c>
      <c r="G16" s="120">
        <f t="shared" si="0"/>
        <v>125.58869701726844</v>
      </c>
      <c r="H16" s="120">
        <f t="shared" si="0"/>
        <v>125.58869701726844</v>
      </c>
    </row>
    <row r="17" spans="1:8" ht="20.25" customHeight="1">
      <c r="A17" s="116" t="s">
        <v>18</v>
      </c>
      <c r="B17" s="115" t="s">
        <v>207</v>
      </c>
      <c r="C17" s="113">
        <v>970</v>
      </c>
      <c r="D17" s="113">
        <v>970</v>
      </c>
      <c r="E17" s="113">
        <v>1200</v>
      </c>
      <c r="F17" s="113">
        <v>1200</v>
      </c>
      <c r="G17" s="120">
        <f t="shared" si="0"/>
        <v>123.71134020618557</v>
      </c>
      <c r="H17" s="120">
        <f t="shared" si="0"/>
        <v>123.71134020618557</v>
      </c>
    </row>
    <row r="18" spans="1:8" ht="20.25" customHeight="1">
      <c r="A18" s="116" t="s">
        <v>18</v>
      </c>
      <c r="B18" s="115" t="s">
        <v>208</v>
      </c>
      <c r="C18" s="113">
        <v>17000</v>
      </c>
      <c r="D18" s="113">
        <v>17000</v>
      </c>
      <c r="E18" s="113">
        <v>12100</v>
      </c>
      <c r="F18" s="113">
        <v>12100</v>
      </c>
      <c r="G18" s="120">
        <f t="shared" si="0"/>
        <v>71.17647058823529</v>
      </c>
      <c r="H18" s="120">
        <f t="shared" si="0"/>
        <v>71.17647058823529</v>
      </c>
    </row>
    <row r="19" spans="1:8" ht="20.25" customHeight="1">
      <c r="A19" s="66">
        <v>3</v>
      </c>
      <c r="B19" s="115" t="s">
        <v>13</v>
      </c>
      <c r="C19" s="113">
        <v>7500</v>
      </c>
      <c r="D19" s="113">
        <v>7500</v>
      </c>
      <c r="E19" s="113">
        <v>5200</v>
      </c>
      <c r="F19" s="113">
        <v>5200</v>
      </c>
      <c r="G19" s="120">
        <f t="shared" si="0"/>
        <v>69.33333333333334</v>
      </c>
      <c r="H19" s="120">
        <f t="shared" si="0"/>
        <v>69.33333333333334</v>
      </c>
    </row>
    <row r="20" spans="1:8" ht="20.25" customHeight="1">
      <c r="A20" s="66">
        <v>4</v>
      </c>
      <c r="B20" s="115" t="s">
        <v>15</v>
      </c>
      <c r="C20" s="113">
        <v>230</v>
      </c>
      <c r="D20" s="113">
        <v>230</v>
      </c>
      <c r="E20" s="113">
        <v>80</v>
      </c>
      <c r="F20" s="113">
        <v>80</v>
      </c>
      <c r="G20" s="120">
        <f t="shared" si="0"/>
        <v>34.78260869565217</v>
      </c>
      <c r="H20" s="120">
        <f t="shared" si="0"/>
        <v>34.78260869565217</v>
      </c>
    </row>
    <row r="21" spans="1:8" ht="20.25" customHeight="1">
      <c r="A21" s="66">
        <v>5</v>
      </c>
      <c r="B21" s="115" t="s">
        <v>16</v>
      </c>
      <c r="C21" s="113">
        <v>1900</v>
      </c>
      <c r="D21" s="113">
        <v>1900</v>
      </c>
      <c r="E21" s="113">
        <v>2220</v>
      </c>
      <c r="F21" s="113">
        <v>2220</v>
      </c>
      <c r="G21" s="120">
        <f t="shared" si="0"/>
        <v>116.8421052631579</v>
      </c>
      <c r="H21" s="120">
        <f t="shared" si="0"/>
        <v>116.8421052631579</v>
      </c>
    </row>
    <row r="22" spans="1:8" ht="20.25" customHeight="1">
      <c r="A22" s="66">
        <v>6</v>
      </c>
      <c r="B22" s="115" t="s">
        <v>307</v>
      </c>
      <c r="C22" s="113">
        <f>+C23+C26</f>
        <v>2800</v>
      </c>
      <c r="D22" s="113">
        <f>+D23+D26</f>
        <v>910</v>
      </c>
      <c r="E22" s="113">
        <f>+E23+E26</f>
        <v>2700</v>
      </c>
      <c r="F22" s="113">
        <f>+F23+F26</f>
        <v>880</v>
      </c>
      <c r="G22" s="120">
        <f t="shared" si="0"/>
        <v>96.42857142857143</v>
      </c>
      <c r="H22" s="120">
        <f>F22/D22*100</f>
        <v>96.7032967032967</v>
      </c>
    </row>
    <row r="23" spans="1:8" ht="20.25" customHeight="1">
      <c r="A23" s="66"/>
      <c r="B23" s="124" t="s">
        <v>308</v>
      </c>
      <c r="C23" s="113">
        <f>+C24+C25</f>
        <v>2700</v>
      </c>
      <c r="D23" s="113">
        <f>+D24+D25</f>
        <v>810</v>
      </c>
      <c r="E23" s="113">
        <f>+E24+E25</f>
        <v>2600</v>
      </c>
      <c r="F23" s="113">
        <f>+F24+F25</f>
        <v>780</v>
      </c>
      <c r="G23" s="120">
        <f t="shared" si="0"/>
        <v>96.29629629629629</v>
      </c>
      <c r="H23" s="120"/>
    </row>
    <row r="24" spans="1:8" s="122" customFormat="1" ht="20.25" customHeight="1">
      <c r="A24" s="66"/>
      <c r="B24" s="124" t="s">
        <v>309</v>
      </c>
      <c r="C24" s="113">
        <v>1890</v>
      </c>
      <c r="D24" s="113"/>
      <c r="E24" s="113">
        <f>2600*70%</f>
        <v>1819.9999999999998</v>
      </c>
      <c r="F24" s="113"/>
      <c r="G24" s="120"/>
      <c r="H24" s="120"/>
    </row>
    <row r="25" spans="1:8" s="122" customFormat="1" ht="20.25" customHeight="1">
      <c r="A25" s="66"/>
      <c r="B25" s="124" t="s">
        <v>310</v>
      </c>
      <c r="C25" s="113">
        <v>810</v>
      </c>
      <c r="D25" s="113">
        <v>810</v>
      </c>
      <c r="E25" s="113">
        <f>2600*30%</f>
        <v>780</v>
      </c>
      <c r="F25" s="113">
        <f>2600*30%</f>
        <v>780</v>
      </c>
      <c r="G25" s="120"/>
      <c r="H25" s="120"/>
    </row>
    <row r="26" spans="1:8" s="122" customFormat="1" ht="20.25" customHeight="1">
      <c r="A26" s="66"/>
      <c r="B26" s="124" t="s">
        <v>311</v>
      </c>
      <c r="C26" s="113">
        <v>100</v>
      </c>
      <c r="D26" s="113">
        <v>100</v>
      </c>
      <c r="E26" s="113">
        <v>100</v>
      </c>
      <c r="F26" s="113">
        <v>100</v>
      </c>
      <c r="G26" s="120">
        <f>E26/C26*100</f>
        <v>100</v>
      </c>
      <c r="H26" s="120">
        <f>F26/D26*100</f>
        <v>100</v>
      </c>
    </row>
    <row r="27" spans="1:8" s="122" customFormat="1" ht="20.25" customHeight="1">
      <c r="A27" s="66">
        <v>7</v>
      </c>
      <c r="B27" s="115" t="s">
        <v>17</v>
      </c>
      <c r="C27" s="113">
        <v>1400</v>
      </c>
      <c r="D27" s="113">
        <f>1400-100</f>
        <v>1300</v>
      </c>
      <c r="E27" s="113">
        <v>1300</v>
      </c>
      <c r="F27" s="113">
        <f>1300-100</f>
        <v>1200</v>
      </c>
      <c r="G27" s="120">
        <f t="shared" si="0"/>
        <v>92.85714285714286</v>
      </c>
      <c r="H27" s="120">
        <f>F27/D27*100</f>
        <v>92.3076923076923</v>
      </c>
    </row>
    <row r="28" spans="1:8" ht="20.25" customHeight="1">
      <c r="A28" s="66">
        <f>A27+1</f>
        <v>8</v>
      </c>
      <c r="B28" s="115" t="s">
        <v>14</v>
      </c>
      <c r="C28" s="113"/>
      <c r="D28" s="113"/>
      <c r="E28" s="113"/>
      <c r="F28" s="113"/>
      <c r="G28" s="120"/>
      <c r="H28" s="120"/>
    </row>
    <row r="29" spans="1:8" ht="20.25" customHeight="1">
      <c r="A29" s="66">
        <v>8</v>
      </c>
      <c r="B29" s="115" t="s">
        <v>19</v>
      </c>
      <c r="C29" s="113">
        <f>C30+C33</f>
        <v>7600</v>
      </c>
      <c r="D29" s="113">
        <f>D30+D33</f>
        <v>7600</v>
      </c>
      <c r="E29" s="113">
        <f>E30+E33</f>
        <v>15000</v>
      </c>
      <c r="F29" s="113">
        <f>F30+F33</f>
        <v>15000</v>
      </c>
      <c r="G29" s="120">
        <f t="shared" si="0"/>
        <v>197.36842105263156</v>
      </c>
      <c r="H29" s="120">
        <f>F29/D29*100</f>
        <v>197.36842105263156</v>
      </c>
    </row>
    <row r="30" spans="1:8" ht="20.25" customHeight="1">
      <c r="A30" s="116" t="s">
        <v>18</v>
      </c>
      <c r="B30" s="115" t="s">
        <v>209</v>
      </c>
      <c r="C30" s="113">
        <f>C31+C32</f>
        <v>1000</v>
      </c>
      <c r="D30" s="113">
        <f>D31+D32</f>
        <v>1000</v>
      </c>
      <c r="E30" s="113"/>
      <c r="F30" s="113"/>
      <c r="G30" s="120">
        <f t="shared" si="0"/>
        <v>0</v>
      </c>
      <c r="H30" s="120"/>
    </row>
    <row r="31" spans="1:8" s="122" customFormat="1" ht="20.25" customHeight="1">
      <c r="A31" s="115"/>
      <c r="B31" s="115" t="s">
        <v>210</v>
      </c>
      <c r="C31" s="113">
        <v>1000</v>
      </c>
      <c r="D31" s="113">
        <v>1000</v>
      </c>
      <c r="E31" s="113">
        <v>1000</v>
      </c>
      <c r="F31" s="113">
        <v>1000</v>
      </c>
      <c r="G31" s="120">
        <f aca="true" t="shared" si="1" ref="G31:G39">E31/C31*100</f>
        <v>100</v>
      </c>
      <c r="H31" s="120"/>
    </row>
    <row r="32" spans="1:8" s="122" customFormat="1" ht="20.25" customHeight="1">
      <c r="A32" s="116"/>
      <c r="B32" s="115" t="s">
        <v>211</v>
      </c>
      <c r="C32" s="113"/>
      <c r="D32" s="113"/>
      <c r="E32" s="113"/>
      <c r="F32" s="113"/>
      <c r="G32" s="120"/>
      <c r="H32" s="120"/>
    </row>
    <row r="33" spans="1:8" ht="20.25" customHeight="1">
      <c r="A33" s="116" t="s">
        <v>18</v>
      </c>
      <c r="B33" s="115" t="s">
        <v>212</v>
      </c>
      <c r="C33" s="113">
        <v>6600</v>
      </c>
      <c r="D33" s="113">
        <v>6600</v>
      </c>
      <c r="E33" s="113">
        <v>15000</v>
      </c>
      <c r="F33" s="113">
        <v>15000</v>
      </c>
      <c r="G33" s="120">
        <f t="shared" si="1"/>
        <v>227.27272727272728</v>
      </c>
      <c r="H33" s="120">
        <f>F33/D33*100</f>
        <v>227.27272727272728</v>
      </c>
    </row>
    <row r="34" spans="1:8" ht="20.25" customHeight="1" hidden="1">
      <c r="A34" s="66">
        <f>A29+1</f>
        <v>9</v>
      </c>
      <c r="B34" s="115" t="s">
        <v>35</v>
      </c>
      <c r="C34" s="113"/>
      <c r="D34" s="113"/>
      <c r="E34" s="113"/>
      <c r="F34" s="113"/>
      <c r="G34" s="120" t="e">
        <f>E34/C34*100</f>
        <v>#DIV/0!</v>
      </c>
      <c r="H34" s="120" t="e">
        <f>F34/D34*100</f>
        <v>#DIV/0!</v>
      </c>
    </row>
    <row r="35" spans="1:8" ht="20.25" customHeight="1">
      <c r="A35" s="66">
        <v>9</v>
      </c>
      <c r="B35" s="115" t="s">
        <v>34</v>
      </c>
      <c r="C35" s="113">
        <v>4200</v>
      </c>
      <c r="D35" s="113">
        <v>4200</v>
      </c>
      <c r="E35" s="113">
        <v>3000</v>
      </c>
      <c r="F35" s="113">
        <v>3000</v>
      </c>
      <c r="G35" s="120"/>
      <c r="H35" s="120"/>
    </row>
    <row r="36" spans="1:8" ht="20.25" customHeight="1">
      <c r="A36" s="66">
        <v>10</v>
      </c>
      <c r="B36" s="115" t="s">
        <v>20</v>
      </c>
      <c r="C36" s="113">
        <f>+C37+C38</f>
        <v>4000</v>
      </c>
      <c r="D36" s="113">
        <f>+D37+D38</f>
        <v>600</v>
      </c>
      <c r="E36" s="113">
        <f>+E37+E38</f>
        <v>2100</v>
      </c>
      <c r="F36" s="113">
        <f>+F37+F38</f>
        <v>620</v>
      </c>
      <c r="G36" s="120">
        <f t="shared" si="1"/>
        <v>52.5</v>
      </c>
      <c r="H36" s="120">
        <f>F36/D36*100</f>
        <v>103.33333333333334</v>
      </c>
    </row>
    <row r="37" spans="1:8" ht="20.25" customHeight="1">
      <c r="A37" s="116" t="s">
        <v>18</v>
      </c>
      <c r="B37" s="115" t="s">
        <v>236</v>
      </c>
      <c r="C37" s="113">
        <v>3400</v>
      </c>
      <c r="D37" s="113"/>
      <c r="E37" s="113">
        <v>1480</v>
      </c>
      <c r="F37" s="113"/>
      <c r="G37" s="120">
        <f t="shared" si="1"/>
        <v>43.529411764705884</v>
      </c>
      <c r="H37" s="120"/>
    </row>
    <row r="38" spans="1:8" ht="20.25" customHeight="1">
      <c r="A38" s="116" t="s">
        <v>18</v>
      </c>
      <c r="B38" s="115" t="s">
        <v>213</v>
      </c>
      <c r="C38" s="113">
        <v>600</v>
      </c>
      <c r="D38" s="113">
        <v>600</v>
      </c>
      <c r="E38" s="113">
        <v>620</v>
      </c>
      <c r="F38" s="113">
        <v>620</v>
      </c>
      <c r="G38" s="120">
        <f t="shared" si="1"/>
        <v>103.33333333333334</v>
      </c>
      <c r="H38" s="120">
        <f>F38/D38*100</f>
        <v>103.33333333333334</v>
      </c>
    </row>
    <row r="39" spans="1:8" ht="20.25" customHeight="1" thickBot="1">
      <c r="A39" s="437">
        <f>A36+1</f>
        <v>11</v>
      </c>
      <c r="B39" s="438" t="s">
        <v>75</v>
      </c>
      <c r="C39" s="439">
        <v>70</v>
      </c>
      <c r="D39" s="439">
        <v>70</v>
      </c>
      <c r="E39" s="439">
        <v>100</v>
      </c>
      <c r="F39" s="439">
        <v>100</v>
      </c>
      <c r="G39" s="440">
        <f t="shared" si="1"/>
        <v>142.85714285714286</v>
      </c>
      <c r="H39" s="440">
        <f>F39/D39*100</f>
        <v>142.85714285714286</v>
      </c>
    </row>
    <row r="40" ht="16.5" thickTop="1"/>
  </sheetData>
  <sheetProtection/>
  <mergeCells count="7">
    <mergeCell ref="A2:H2"/>
    <mergeCell ref="E5:F5"/>
    <mergeCell ref="G5:H5"/>
    <mergeCell ref="A3:H3"/>
    <mergeCell ref="A5:A7"/>
    <mergeCell ref="B5:B7"/>
    <mergeCell ref="C5:D5"/>
  </mergeCells>
  <printOptions horizontalCentered="1"/>
  <pageMargins left="0.59" right="0" top="0.6" bottom="0.17" header="0.88" footer="0.2"/>
  <pageSetup fitToHeight="0" fitToWidth="1" horizontalDpi="600" verticalDpi="600" orientation="portrait" paperSize="9" scale="80" r:id="rId3"/>
  <headerFooter alignWithMargins="0">
    <oddHeader xml:space="preserve">&amp;C                                                                                                                                  </oddHeader>
    <oddFooter>&amp;C&amp;".VnTime,Italic"&amp;8
</oddFooter>
  </headerFooter>
  <legacyDrawing r:id="rId2"/>
</worksheet>
</file>

<file path=xl/worksheets/sheet3.xml><?xml version="1.0" encoding="utf-8"?>
<worksheet xmlns="http://schemas.openxmlformats.org/spreadsheetml/2006/main" xmlns:r="http://schemas.openxmlformats.org/officeDocument/2006/relationships">
  <sheetPr>
    <tabColor rgb="FFFFFF99"/>
    <pageSetUpPr fitToPage="1"/>
  </sheetPr>
  <dimension ref="A1:H53"/>
  <sheetViews>
    <sheetView view="pageBreakPreview" zoomScale="60" zoomScalePageLayoutView="0" workbookViewId="0" topLeftCell="A16">
      <selection activeCell="A53" sqref="A53:F53"/>
    </sheetView>
  </sheetViews>
  <sheetFormatPr defaultColWidth="8.796875" defaultRowHeight="15"/>
  <cols>
    <col min="1" max="1" width="7.09765625" style="281" customWidth="1"/>
    <col min="2" max="2" width="49.3984375" style="281" customWidth="1"/>
    <col min="3" max="4" width="11.09765625" style="281" customWidth="1"/>
    <col min="5" max="6" width="10.19921875" style="281" customWidth="1"/>
    <col min="7" max="7" width="9" style="281" customWidth="1"/>
    <col min="8" max="8" width="18.8984375" style="281" customWidth="1"/>
    <col min="9" max="16384" width="9" style="281" customWidth="1"/>
  </cols>
  <sheetData>
    <row r="1" spans="1:6" ht="28.5" customHeight="1">
      <c r="A1" s="261"/>
      <c r="B1" s="262"/>
      <c r="C1" s="263"/>
      <c r="D1" s="279"/>
      <c r="E1" s="280"/>
      <c r="F1" s="265" t="s">
        <v>220</v>
      </c>
    </row>
    <row r="2" spans="1:6" ht="24" customHeight="1">
      <c r="A2" s="361" t="s">
        <v>378</v>
      </c>
      <c r="B2" s="361"/>
      <c r="C2" s="361"/>
      <c r="D2" s="361"/>
      <c r="E2" s="361"/>
      <c r="F2" s="361"/>
    </row>
    <row r="3" spans="1:7" ht="21" customHeight="1">
      <c r="A3" s="370" t="str">
        <f>PL15!A3</f>
        <v>(Kèm theo Nghị quyết số       /NQ-HĐND ngày       tháng 12 năm 2022 của HĐND huyện Tuần Giáo)</v>
      </c>
      <c r="B3" s="370"/>
      <c r="C3" s="370"/>
      <c r="D3" s="370"/>
      <c r="E3" s="370"/>
      <c r="F3" s="370"/>
      <c r="G3" s="282"/>
    </row>
    <row r="4" spans="1:6" ht="30" customHeight="1">
      <c r="A4" s="266"/>
      <c r="B4" s="266"/>
      <c r="C4" s="267"/>
      <c r="D4" s="371" t="s">
        <v>92</v>
      </c>
      <c r="E4" s="371"/>
      <c r="F4" s="371"/>
    </row>
    <row r="5" spans="1:6" ht="15.75">
      <c r="A5" s="372" t="s">
        <v>62</v>
      </c>
      <c r="B5" s="373" t="s">
        <v>6</v>
      </c>
      <c r="C5" s="372" t="s">
        <v>343</v>
      </c>
      <c r="D5" s="372" t="s">
        <v>304</v>
      </c>
      <c r="E5" s="373" t="s">
        <v>63</v>
      </c>
      <c r="F5" s="373"/>
    </row>
    <row r="6" spans="1:6" ht="15.75">
      <c r="A6" s="372"/>
      <c r="B6" s="373"/>
      <c r="C6" s="372"/>
      <c r="D6" s="372"/>
      <c r="E6" s="372" t="s">
        <v>93</v>
      </c>
      <c r="F6" s="372" t="s">
        <v>145</v>
      </c>
    </row>
    <row r="7" spans="1:6" ht="15.75">
      <c r="A7" s="372"/>
      <c r="B7" s="373"/>
      <c r="C7" s="372"/>
      <c r="D7" s="372"/>
      <c r="E7" s="372"/>
      <c r="F7" s="372"/>
    </row>
    <row r="8" spans="1:6" ht="15.75">
      <c r="A8" s="283" t="s">
        <v>10</v>
      </c>
      <c r="B8" s="283" t="s">
        <v>11</v>
      </c>
      <c r="C8" s="283">
        <v>1</v>
      </c>
      <c r="D8" s="283">
        <v>2</v>
      </c>
      <c r="E8" s="283" t="s">
        <v>94</v>
      </c>
      <c r="F8" s="283" t="s">
        <v>95</v>
      </c>
    </row>
    <row r="9" spans="1:6" ht="15.75">
      <c r="A9" s="283"/>
      <c r="B9" s="284" t="s">
        <v>103</v>
      </c>
      <c r="C9" s="285">
        <f>C10+C37</f>
        <v>715818</v>
      </c>
      <c r="D9" s="285">
        <f>D10+D37</f>
        <v>948814</v>
      </c>
      <c r="E9" s="285">
        <f>D9-C9</f>
        <v>232996</v>
      </c>
      <c r="F9" s="286">
        <f>D9/C9*100</f>
        <v>132.54961456683122</v>
      </c>
    </row>
    <row r="10" spans="1:8" ht="15.75">
      <c r="A10" s="283" t="s">
        <v>10</v>
      </c>
      <c r="B10" s="284" t="s">
        <v>108</v>
      </c>
      <c r="C10" s="285">
        <f>C11+C20+C35+C36</f>
        <v>715674</v>
      </c>
      <c r="D10" s="285">
        <f>D11+D20+D35+D36</f>
        <v>734706</v>
      </c>
      <c r="E10" s="285">
        <f aca="true" t="shared" si="0" ref="E10:E52">D10-C10</f>
        <v>19032</v>
      </c>
      <c r="F10" s="286">
        <f>D10/C10*100</f>
        <v>102.65931136243597</v>
      </c>
      <c r="H10" s="287"/>
    </row>
    <row r="11" spans="1:6" ht="15.75">
      <c r="A11" s="283" t="s">
        <v>21</v>
      </c>
      <c r="B11" s="284" t="s">
        <v>45</v>
      </c>
      <c r="C11" s="285">
        <f>C12</f>
        <v>40234</v>
      </c>
      <c r="D11" s="285">
        <f>D12</f>
        <v>36868</v>
      </c>
      <c r="E11" s="285">
        <f>E12</f>
        <v>-3366</v>
      </c>
      <c r="F11" s="286">
        <f>F12</f>
        <v>91.63394144256102</v>
      </c>
    </row>
    <row r="12" spans="1:6" ht="15.75">
      <c r="A12" s="288">
        <v>1</v>
      </c>
      <c r="B12" s="289" t="s">
        <v>76</v>
      </c>
      <c r="C12" s="290">
        <f>C13</f>
        <v>40234</v>
      </c>
      <c r="D12" s="290">
        <f>D13</f>
        <v>36868</v>
      </c>
      <c r="E12" s="290">
        <f>E13</f>
        <v>-3366</v>
      </c>
      <c r="F12" s="291">
        <f>D12/C12*100</f>
        <v>91.63394144256102</v>
      </c>
    </row>
    <row r="13" spans="1:6" ht="15.75">
      <c r="A13" s="288"/>
      <c r="B13" s="289" t="s">
        <v>143</v>
      </c>
      <c r="C13" s="290">
        <f>SUM(C14:C16)</f>
        <v>40234</v>
      </c>
      <c r="D13" s="290">
        <f>SUM(D14:D16)</f>
        <v>36868</v>
      </c>
      <c r="E13" s="290">
        <f>SUM(E14:E16)</f>
        <v>-3366</v>
      </c>
      <c r="F13" s="291">
        <f aca="true" t="shared" si="1" ref="F13:F19">D13/C13*100</f>
        <v>91.63394144256102</v>
      </c>
    </row>
    <row r="14" spans="1:6" ht="15.75">
      <c r="A14" s="292" t="s">
        <v>18</v>
      </c>
      <c r="B14" s="289" t="s">
        <v>344</v>
      </c>
      <c r="C14" s="290">
        <v>4500</v>
      </c>
      <c r="D14" s="290">
        <v>6000</v>
      </c>
      <c r="E14" s="290">
        <f>D14-C14</f>
        <v>1500</v>
      </c>
      <c r="F14" s="291">
        <f t="shared" si="1"/>
        <v>133.33333333333331</v>
      </c>
    </row>
    <row r="15" spans="1:6" ht="15.75">
      <c r="A15" s="292" t="s">
        <v>18</v>
      </c>
      <c r="B15" s="289" t="s">
        <v>117</v>
      </c>
      <c r="C15" s="290">
        <v>35734</v>
      </c>
      <c r="D15" s="290">
        <v>30868</v>
      </c>
      <c r="E15" s="290">
        <f>D15-C15</f>
        <v>-4866</v>
      </c>
      <c r="F15" s="291">
        <f t="shared" si="1"/>
        <v>86.38271674035933</v>
      </c>
    </row>
    <row r="16" spans="1:6" ht="15.75">
      <c r="A16" s="292" t="s">
        <v>18</v>
      </c>
      <c r="B16" s="289" t="s">
        <v>345</v>
      </c>
      <c r="C16" s="290"/>
      <c r="D16" s="290"/>
      <c r="E16" s="290">
        <f>D16-C16</f>
        <v>0</v>
      </c>
      <c r="F16" s="291"/>
    </row>
    <row r="17" spans="1:6" ht="15.75">
      <c r="A17" s="288"/>
      <c r="B17" s="289" t="s">
        <v>144</v>
      </c>
      <c r="C17" s="290">
        <f>C18+C19</f>
        <v>40234</v>
      </c>
      <c r="D17" s="290">
        <f>D18+D19</f>
        <v>36868</v>
      </c>
      <c r="E17" s="290">
        <f>E18+E19</f>
        <v>-3366</v>
      </c>
      <c r="F17" s="291">
        <f t="shared" si="1"/>
        <v>91.63394144256102</v>
      </c>
    </row>
    <row r="18" spans="1:6" ht="15.75">
      <c r="A18" s="292" t="s">
        <v>18</v>
      </c>
      <c r="B18" s="289" t="s">
        <v>346</v>
      </c>
      <c r="C18" s="290">
        <v>22234</v>
      </c>
      <c r="D18" s="290">
        <v>23368</v>
      </c>
      <c r="E18" s="290">
        <f>D18-C18</f>
        <v>1134</v>
      </c>
      <c r="F18" s="291">
        <f t="shared" si="1"/>
        <v>105.10029684267339</v>
      </c>
    </row>
    <row r="19" spans="1:6" ht="15.75">
      <c r="A19" s="292" t="s">
        <v>18</v>
      </c>
      <c r="B19" s="289" t="s">
        <v>347</v>
      </c>
      <c r="C19" s="290">
        <v>18000</v>
      </c>
      <c r="D19" s="290">
        <v>13500</v>
      </c>
      <c r="E19" s="290">
        <f>D19-C19</f>
        <v>-4500</v>
      </c>
      <c r="F19" s="291">
        <f t="shared" si="1"/>
        <v>75</v>
      </c>
    </row>
    <row r="20" spans="1:7" ht="15.75">
      <c r="A20" s="283" t="s">
        <v>22</v>
      </c>
      <c r="B20" s="284" t="s">
        <v>27</v>
      </c>
      <c r="C20" s="285">
        <f>SUM(C21:C34)</f>
        <v>661207</v>
      </c>
      <c r="D20" s="285">
        <f>SUM(D21:D34)</f>
        <v>683144</v>
      </c>
      <c r="E20" s="285">
        <f t="shared" si="0"/>
        <v>21937</v>
      </c>
      <c r="F20" s="286">
        <f aca="true" t="shared" si="2" ref="F20:F33">D20/C20*100</f>
        <v>103.31772047180382</v>
      </c>
      <c r="G20" s="281">
        <v>683144</v>
      </c>
    </row>
    <row r="21" spans="1:7" ht="15.75">
      <c r="A21" s="288">
        <v>1</v>
      </c>
      <c r="B21" s="289" t="s">
        <v>246</v>
      </c>
      <c r="C21" s="290">
        <v>416126</v>
      </c>
      <c r="D21" s="290">
        <v>425458</v>
      </c>
      <c r="E21" s="290">
        <f t="shared" si="0"/>
        <v>9332</v>
      </c>
      <c r="F21" s="291">
        <f t="shared" si="2"/>
        <v>102.24258998476424</v>
      </c>
      <c r="G21" s="287">
        <f>+G20-D20</f>
        <v>0</v>
      </c>
    </row>
    <row r="22" spans="1:6" ht="15.75">
      <c r="A22" s="288">
        <v>2</v>
      </c>
      <c r="B22" s="289" t="s">
        <v>36</v>
      </c>
      <c r="C22" s="290">
        <v>600</v>
      </c>
      <c r="D22" s="290">
        <v>600</v>
      </c>
      <c r="E22" s="290">
        <f t="shared" si="0"/>
        <v>0</v>
      </c>
      <c r="F22" s="291">
        <f t="shared" si="2"/>
        <v>100</v>
      </c>
    </row>
    <row r="23" spans="1:6" ht="15.75">
      <c r="A23" s="288">
        <v>3</v>
      </c>
      <c r="B23" s="289" t="s">
        <v>37</v>
      </c>
      <c r="C23" s="290">
        <v>6543</v>
      </c>
      <c r="D23" s="290">
        <v>9082</v>
      </c>
      <c r="E23" s="290">
        <f t="shared" si="0"/>
        <v>2539</v>
      </c>
      <c r="F23" s="291">
        <f t="shared" si="2"/>
        <v>138.80482958887362</v>
      </c>
    </row>
    <row r="24" spans="1:6" ht="15.75">
      <c r="A24" s="288">
        <v>4</v>
      </c>
      <c r="B24" s="289" t="s">
        <v>38</v>
      </c>
      <c r="C24" s="290">
        <v>3299</v>
      </c>
      <c r="D24" s="290">
        <v>3299</v>
      </c>
      <c r="E24" s="290">
        <f t="shared" si="0"/>
        <v>0</v>
      </c>
      <c r="F24" s="291">
        <f t="shared" si="2"/>
        <v>100</v>
      </c>
    </row>
    <row r="25" spans="1:6" ht="15.75">
      <c r="A25" s="288">
        <v>5</v>
      </c>
      <c r="B25" s="289" t="s">
        <v>39</v>
      </c>
      <c r="C25" s="290">
        <v>200</v>
      </c>
      <c r="D25" s="290">
        <v>200</v>
      </c>
      <c r="E25" s="290">
        <f t="shared" si="0"/>
        <v>0</v>
      </c>
      <c r="F25" s="291">
        <f t="shared" si="2"/>
        <v>100</v>
      </c>
    </row>
    <row r="26" spans="1:6" ht="15.75">
      <c r="A26" s="288">
        <v>6</v>
      </c>
      <c r="B26" s="289" t="s">
        <v>40</v>
      </c>
      <c r="C26" s="290">
        <v>2883</v>
      </c>
      <c r="D26" s="290">
        <v>3686</v>
      </c>
      <c r="E26" s="290">
        <f t="shared" si="0"/>
        <v>803</v>
      </c>
      <c r="F26" s="291">
        <f t="shared" si="2"/>
        <v>127.85293097467915</v>
      </c>
    </row>
    <row r="27" spans="1:6" ht="15.75">
      <c r="A27" s="288">
        <v>7</v>
      </c>
      <c r="B27" s="289" t="s">
        <v>41</v>
      </c>
      <c r="C27" s="290">
        <v>2488</v>
      </c>
      <c r="D27" s="290">
        <v>2889</v>
      </c>
      <c r="E27" s="290">
        <f t="shared" si="0"/>
        <v>401</v>
      </c>
      <c r="F27" s="291">
        <f t="shared" si="2"/>
        <v>116.11736334405145</v>
      </c>
    </row>
    <row r="28" spans="1:6" ht="15.75">
      <c r="A28" s="288">
        <v>8</v>
      </c>
      <c r="B28" s="289" t="s">
        <v>42</v>
      </c>
      <c r="C28" s="290">
        <v>891</v>
      </c>
      <c r="D28" s="290">
        <v>616</v>
      </c>
      <c r="E28" s="290">
        <f t="shared" si="0"/>
        <v>-275</v>
      </c>
      <c r="F28" s="291">
        <f t="shared" si="2"/>
        <v>69.1358024691358</v>
      </c>
    </row>
    <row r="29" spans="1:6" ht="15.75">
      <c r="A29" s="288">
        <v>9</v>
      </c>
      <c r="B29" s="289" t="s">
        <v>43</v>
      </c>
      <c r="C29" s="290">
        <v>2500</v>
      </c>
      <c r="D29" s="290">
        <v>4232</v>
      </c>
      <c r="E29" s="290">
        <f t="shared" si="0"/>
        <v>1732</v>
      </c>
      <c r="F29" s="291">
        <f t="shared" si="2"/>
        <v>169.28</v>
      </c>
    </row>
    <row r="30" spans="1:6" ht="15.75">
      <c r="A30" s="288">
        <v>10</v>
      </c>
      <c r="B30" s="289" t="s">
        <v>233</v>
      </c>
      <c r="C30" s="290">
        <v>62483</v>
      </c>
      <c r="D30" s="290">
        <v>56948</v>
      </c>
      <c r="E30" s="290">
        <f t="shared" si="0"/>
        <v>-5535</v>
      </c>
      <c r="F30" s="291">
        <f t="shared" si="2"/>
        <v>91.14159051261943</v>
      </c>
    </row>
    <row r="31" spans="1:6" ht="15.75">
      <c r="A31" s="288">
        <v>11</v>
      </c>
      <c r="B31" s="289" t="s">
        <v>348</v>
      </c>
      <c r="C31" s="290">
        <v>109185</v>
      </c>
      <c r="D31" s="290">
        <v>110925</v>
      </c>
      <c r="E31" s="290">
        <f t="shared" si="0"/>
        <v>1740</v>
      </c>
      <c r="F31" s="291">
        <f t="shared" si="2"/>
        <v>101.59362549800797</v>
      </c>
    </row>
    <row r="32" spans="1:6" ht="15.75">
      <c r="A32" s="288">
        <v>12</v>
      </c>
      <c r="B32" s="289" t="s">
        <v>28</v>
      </c>
      <c r="C32" s="290">
        <v>43133</v>
      </c>
      <c r="D32" s="290">
        <v>47164</v>
      </c>
      <c r="E32" s="290">
        <f t="shared" si="0"/>
        <v>4031</v>
      </c>
      <c r="F32" s="291">
        <f t="shared" si="2"/>
        <v>109.34551271648158</v>
      </c>
    </row>
    <row r="33" spans="1:6" ht="15.75">
      <c r="A33" s="288">
        <v>13</v>
      </c>
      <c r="B33" s="289" t="s">
        <v>44</v>
      </c>
      <c r="C33" s="290">
        <v>10876</v>
      </c>
      <c r="D33" s="290">
        <v>18045</v>
      </c>
      <c r="E33" s="290">
        <f t="shared" si="0"/>
        <v>7169</v>
      </c>
      <c r="F33" s="291">
        <f t="shared" si="2"/>
        <v>165.9157778595072</v>
      </c>
    </row>
    <row r="34" spans="1:6" ht="15.75">
      <c r="A34" s="288">
        <v>14</v>
      </c>
      <c r="B34" s="289" t="s">
        <v>349</v>
      </c>
      <c r="C34" s="290"/>
      <c r="D34" s="290"/>
      <c r="E34" s="290">
        <f>D34-C34</f>
        <v>0</v>
      </c>
      <c r="F34" s="291"/>
    </row>
    <row r="35" spans="1:6" ht="15.75">
      <c r="A35" s="283" t="s">
        <v>23</v>
      </c>
      <c r="B35" s="284" t="s">
        <v>30</v>
      </c>
      <c r="C35" s="285">
        <v>14233</v>
      </c>
      <c r="D35" s="285">
        <v>14694</v>
      </c>
      <c r="E35" s="285">
        <f>D35-C35</f>
        <v>461</v>
      </c>
      <c r="F35" s="286">
        <f>D35/C35*100</f>
        <v>103.23895173189068</v>
      </c>
    </row>
    <row r="36" spans="1:6" ht="15.75">
      <c r="A36" s="283" t="s">
        <v>24</v>
      </c>
      <c r="B36" s="284" t="s">
        <v>77</v>
      </c>
      <c r="C36" s="285"/>
      <c r="D36" s="285"/>
      <c r="E36" s="285">
        <f t="shared" si="0"/>
        <v>0</v>
      </c>
      <c r="F36" s="291"/>
    </row>
    <row r="37" spans="1:6" ht="15.75">
      <c r="A37" s="283" t="s">
        <v>11</v>
      </c>
      <c r="B37" s="293" t="s">
        <v>109</v>
      </c>
      <c r="C37" s="285">
        <f>+C38+C48</f>
        <v>144</v>
      </c>
      <c r="D37" s="285">
        <f>D38+D48</f>
        <v>214108</v>
      </c>
      <c r="E37" s="285">
        <f t="shared" si="0"/>
        <v>213964</v>
      </c>
      <c r="F37" s="286">
        <f>D37/C37*100</f>
        <v>148686.1111111111</v>
      </c>
    </row>
    <row r="38" spans="1:6" ht="15.75">
      <c r="A38" s="283" t="s">
        <v>21</v>
      </c>
      <c r="B38" s="284" t="s">
        <v>106</v>
      </c>
      <c r="C38" s="285">
        <f>C39+C45</f>
        <v>0</v>
      </c>
      <c r="D38" s="285">
        <f>D39+D45+D42</f>
        <v>210875</v>
      </c>
      <c r="E38" s="285">
        <f t="shared" si="0"/>
        <v>210875</v>
      </c>
      <c r="F38" s="286"/>
    </row>
    <row r="39" spans="1:6" ht="31.5">
      <c r="A39" s="288">
        <v>1</v>
      </c>
      <c r="B39" s="294" t="s">
        <v>336</v>
      </c>
      <c r="C39" s="290">
        <f>C40+C41</f>
        <v>0</v>
      </c>
      <c r="D39" s="290">
        <f>D40+D41</f>
        <v>161997</v>
      </c>
      <c r="E39" s="290">
        <f t="shared" si="0"/>
        <v>161997</v>
      </c>
      <c r="F39" s="291"/>
    </row>
    <row r="40" spans="1:6" ht="15.75">
      <c r="A40" s="288" t="s">
        <v>214</v>
      </c>
      <c r="B40" s="289" t="s">
        <v>202</v>
      </c>
      <c r="C40" s="290">
        <v>0</v>
      </c>
      <c r="D40" s="290">
        <v>83500</v>
      </c>
      <c r="E40" s="290">
        <f t="shared" si="0"/>
        <v>83500</v>
      </c>
      <c r="F40" s="291"/>
    </row>
    <row r="41" spans="1:6" ht="15.75">
      <c r="A41" s="288" t="s">
        <v>215</v>
      </c>
      <c r="B41" s="289" t="s">
        <v>203</v>
      </c>
      <c r="C41" s="290">
        <v>0</v>
      </c>
      <c r="D41" s="290">
        <v>78497</v>
      </c>
      <c r="E41" s="290">
        <f t="shared" si="0"/>
        <v>78497</v>
      </c>
      <c r="F41" s="291"/>
    </row>
    <row r="42" spans="1:6" ht="15.75">
      <c r="A42" s="288">
        <v>2</v>
      </c>
      <c r="B42" s="294" t="s">
        <v>337</v>
      </c>
      <c r="C42" s="290">
        <f>C43+C44</f>
        <v>0</v>
      </c>
      <c r="D42" s="290">
        <f>D43+D44</f>
        <v>48468</v>
      </c>
      <c r="E42" s="290">
        <f>D42-C42</f>
        <v>48468</v>
      </c>
      <c r="F42" s="291"/>
    </row>
    <row r="43" spans="1:6" ht="15.75">
      <c r="A43" s="288" t="s">
        <v>216</v>
      </c>
      <c r="B43" s="289" t="s">
        <v>202</v>
      </c>
      <c r="C43" s="290">
        <v>0</v>
      </c>
      <c r="D43" s="290">
        <v>0</v>
      </c>
      <c r="E43" s="290">
        <f>D43-C43</f>
        <v>0</v>
      </c>
      <c r="F43" s="291"/>
    </row>
    <row r="44" spans="1:6" ht="15.75">
      <c r="A44" s="288" t="s">
        <v>217</v>
      </c>
      <c r="B44" s="289" t="s">
        <v>203</v>
      </c>
      <c r="C44" s="290">
        <v>0</v>
      </c>
      <c r="D44" s="290">
        <v>48468</v>
      </c>
      <c r="E44" s="290">
        <f>D44-C44</f>
        <v>48468</v>
      </c>
      <c r="F44" s="291"/>
    </row>
    <row r="45" spans="1:6" ht="15.75">
      <c r="A45" s="288">
        <v>3</v>
      </c>
      <c r="B45" s="289" t="s">
        <v>201</v>
      </c>
      <c r="C45" s="290">
        <f>C46+C47</f>
        <v>0</v>
      </c>
      <c r="D45" s="290">
        <f>D46+D47</f>
        <v>410</v>
      </c>
      <c r="E45" s="290">
        <f t="shared" si="0"/>
        <v>410</v>
      </c>
      <c r="F45" s="291"/>
    </row>
    <row r="46" spans="1:6" ht="15.75">
      <c r="A46" s="288" t="s">
        <v>351</v>
      </c>
      <c r="B46" s="289" t="s">
        <v>202</v>
      </c>
      <c r="C46" s="290">
        <v>0</v>
      </c>
      <c r="D46" s="290">
        <v>0</v>
      </c>
      <c r="E46" s="290">
        <f t="shared" si="0"/>
        <v>0</v>
      </c>
      <c r="F46" s="291"/>
    </row>
    <row r="47" spans="1:6" ht="15.75">
      <c r="A47" s="288" t="s">
        <v>352</v>
      </c>
      <c r="B47" s="289" t="s">
        <v>203</v>
      </c>
      <c r="C47" s="290">
        <v>0</v>
      </c>
      <c r="D47" s="290">
        <v>410</v>
      </c>
      <c r="E47" s="290">
        <f t="shared" si="0"/>
        <v>410</v>
      </c>
      <c r="F47" s="291"/>
    </row>
    <row r="48" spans="1:6" ht="15.75">
      <c r="A48" s="283" t="s">
        <v>21</v>
      </c>
      <c r="B48" s="284" t="s">
        <v>218</v>
      </c>
      <c r="C48" s="285">
        <f>C49+C51</f>
        <v>144</v>
      </c>
      <c r="D48" s="285">
        <f>D49+D51</f>
        <v>3233</v>
      </c>
      <c r="E48" s="285">
        <f t="shared" si="0"/>
        <v>3089</v>
      </c>
      <c r="F48" s="286">
        <f>D48/C48*100</f>
        <v>2245.138888888889</v>
      </c>
    </row>
    <row r="49" spans="1:6" ht="15.75">
      <c r="A49" s="288">
        <v>1</v>
      </c>
      <c r="B49" s="289" t="s">
        <v>202</v>
      </c>
      <c r="C49" s="290">
        <f>C50</f>
        <v>0</v>
      </c>
      <c r="D49" s="290">
        <f>D50</f>
        <v>0</v>
      </c>
      <c r="E49" s="290">
        <f t="shared" si="0"/>
        <v>0</v>
      </c>
      <c r="F49" s="291"/>
    </row>
    <row r="50" spans="1:6" ht="31.5">
      <c r="A50" s="295"/>
      <c r="B50" s="296" t="s">
        <v>350</v>
      </c>
      <c r="C50" s="297">
        <v>0</v>
      </c>
      <c r="D50" s="297">
        <v>0</v>
      </c>
      <c r="E50" s="290">
        <f t="shared" si="0"/>
        <v>0</v>
      </c>
      <c r="F50" s="291"/>
    </row>
    <row r="51" spans="1:6" ht="15.75">
      <c r="A51" s="288">
        <v>1</v>
      </c>
      <c r="B51" s="289" t="s">
        <v>203</v>
      </c>
      <c r="C51" s="290">
        <f>C52+C53+C54+C55+C56+C57+C58</f>
        <v>144</v>
      </c>
      <c r="D51" s="290">
        <f>D52+D53+D54+D55+D56+D57+D58</f>
        <v>3233</v>
      </c>
      <c r="E51" s="290">
        <f t="shared" si="0"/>
        <v>3089</v>
      </c>
      <c r="F51" s="291">
        <f>D51/C51*100</f>
        <v>2245.138888888889</v>
      </c>
    </row>
    <row r="52" spans="1:6" ht="15.75">
      <c r="A52" s="295"/>
      <c r="B52" s="294" t="s">
        <v>339</v>
      </c>
      <c r="C52" s="297"/>
      <c r="D52" s="297">
        <v>3205</v>
      </c>
      <c r="E52" s="290">
        <f t="shared" si="0"/>
        <v>3205</v>
      </c>
      <c r="F52" s="291"/>
    </row>
    <row r="53" spans="1:6" ht="32.25" thickBot="1">
      <c r="A53" s="441"/>
      <c r="B53" s="442" t="s">
        <v>353</v>
      </c>
      <c r="C53" s="443">
        <v>144</v>
      </c>
      <c r="D53" s="443">
        <v>28</v>
      </c>
      <c r="E53" s="443">
        <f>D53-C53</f>
        <v>-116</v>
      </c>
      <c r="F53" s="444">
        <f>D53/C53*100</f>
        <v>19.444444444444446</v>
      </c>
    </row>
    <row r="54" ht="16.5" thickTop="1"/>
  </sheetData>
  <sheetProtection/>
  <mergeCells count="10">
    <mergeCell ref="A2:F2"/>
    <mergeCell ref="A3:F3"/>
    <mergeCell ref="D4:F4"/>
    <mergeCell ref="A5:A7"/>
    <mergeCell ref="B5:B7"/>
    <mergeCell ref="C5:C7"/>
    <mergeCell ref="D5:D7"/>
    <mergeCell ref="E5:F5"/>
    <mergeCell ref="E6:E7"/>
    <mergeCell ref="F6:F7"/>
  </mergeCells>
  <printOptions horizontalCentered="1"/>
  <pageMargins left="0.5511811023622047" right="0.11811023622047245" top="0.6299212598425197" bottom="0.6299212598425197" header="0.4330708661417323" footer="0.2362204724409449"/>
  <pageSetup fitToHeight="0" fitToWidth="1" horizontalDpi="600" verticalDpi="600" orientation="portrait" paperSize="9" scale="90" r:id="rId1"/>
  <headerFooter alignWithMargins="0">
    <oddHeader xml:space="preserve">&amp;C                                                                                                                                  </oddHeader>
    <oddFooter>&amp;C&amp;".VnTime,Italic"&amp;8
</oddFooter>
  </headerFooter>
</worksheet>
</file>

<file path=xl/worksheets/sheet4.xml><?xml version="1.0" encoding="utf-8"?>
<worksheet xmlns="http://schemas.openxmlformats.org/spreadsheetml/2006/main" xmlns:r="http://schemas.openxmlformats.org/officeDocument/2006/relationships">
  <sheetPr>
    <tabColor rgb="FFFFFF99"/>
    <pageSetUpPr fitToPage="1"/>
  </sheetPr>
  <dimension ref="A1:I46"/>
  <sheetViews>
    <sheetView view="pageBreakPreview" zoomScale="60" zoomScaleNormal="85" workbookViewId="0" topLeftCell="A4">
      <selection activeCell="O35" sqref="O35"/>
    </sheetView>
  </sheetViews>
  <sheetFormatPr defaultColWidth="8.796875" defaultRowHeight="15"/>
  <cols>
    <col min="1" max="1" width="5.09765625" style="264" customWidth="1"/>
    <col min="2" max="2" width="37.59765625" style="264" customWidth="1"/>
    <col min="3" max="5" width="11.8984375" style="312" customWidth="1"/>
    <col min="6" max="7" width="11.8984375" style="264" customWidth="1"/>
    <col min="8" max="16384" width="9" style="264" customWidth="1"/>
  </cols>
  <sheetData>
    <row r="1" spans="1:7" ht="21" customHeight="1">
      <c r="A1" s="261"/>
      <c r="B1" s="261"/>
      <c r="C1" s="298"/>
      <c r="D1" s="298"/>
      <c r="E1" s="298"/>
      <c r="G1" s="265" t="s">
        <v>192</v>
      </c>
    </row>
    <row r="2" spans="1:7" ht="21" customHeight="1">
      <c r="A2" s="361" t="s">
        <v>146</v>
      </c>
      <c r="B2" s="361"/>
      <c r="C2" s="361"/>
      <c r="D2" s="361"/>
      <c r="E2" s="361"/>
      <c r="F2" s="361"/>
      <c r="G2" s="361"/>
    </row>
    <row r="3" spans="1:7" ht="21" customHeight="1">
      <c r="A3" s="361" t="s">
        <v>354</v>
      </c>
      <c r="B3" s="361"/>
      <c r="C3" s="361"/>
      <c r="D3" s="361"/>
      <c r="E3" s="361"/>
      <c r="F3" s="361"/>
      <c r="G3" s="361"/>
    </row>
    <row r="4" spans="1:7" ht="21" customHeight="1">
      <c r="A4" s="370" t="str">
        <f>PL15!A3</f>
        <v>(Kèm theo Nghị quyết số       /NQ-HĐND ngày       tháng 12 năm 2022 của HĐND huyện Tuần Giáo)</v>
      </c>
      <c r="B4" s="370"/>
      <c r="C4" s="370"/>
      <c r="D4" s="370"/>
      <c r="E4" s="370"/>
      <c r="F4" s="370"/>
      <c r="G4" s="370"/>
    </row>
    <row r="5" spans="1:7" ht="19.5" customHeight="1">
      <c r="A5" s="266"/>
      <c r="B5" s="266"/>
      <c r="C5" s="299"/>
      <c r="D5" s="299"/>
      <c r="E5" s="299"/>
      <c r="F5" s="362" t="s">
        <v>92</v>
      </c>
      <c r="G5" s="362"/>
    </row>
    <row r="6" spans="1:7" s="300" customFormat="1" ht="26.25" customHeight="1">
      <c r="A6" s="372" t="s">
        <v>62</v>
      </c>
      <c r="B6" s="373" t="s">
        <v>6</v>
      </c>
      <c r="C6" s="374" t="s">
        <v>343</v>
      </c>
      <c r="D6" s="374" t="s">
        <v>270</v>
      </c>
      <c r="E6" s="374" t="s">
        <v>304</v>
      </c>
      <c r="F6" s="373" t="s">
        <v>63</v>
      </c>
      <c r="G6" s="373"/>
    </row>
    <row r="7" spans="1:7" s="300" customFormat="1" ht="26.25" customHeight="1">
      <c r="A7" s="372"/>
      <c r="B7" s="373"/>
      <c r="C7" s="374"/>
      <c r="D7" s="374"/>
      <c r="E7" s="374"/>
      <c r="F7" s="373" t="s">
        <v>93</v>
      </c>
      <c r="G7" s="372" t="s">
        <v>145</v>
      </c>
    </row>
    <row r="8" spans="1:7" s="300" customFormat="1" ht="26.25" customHeight="1">
      <c r="A8" s="372"/>
      <c r="B8" s="373"/>
      <c r="C8" s="374"/>
      <c r="D8" s="374"/>
      <c r="E8" s="374"/>
      <c r="F8" s="373"/>
      <c r="G8" s="372"/>
    </row>
    <row r="9" spans="1:7" s="301" customFormat="1" ht="17.25" customHeight="1">
      <c r="A9" s="268" t="s">
        <v>10</v>
      </c>
      <c r="B9" s="268" t="s">
        <v>11</v>
      </c>
      <c r="C9" s="268">
        <v>1</v>
      </c>
      <c r="D9" s="268">
        <v>2</v>
      </c>
      <c r="E9" s="268">
        <v>3</v>
      </c>
      <c r="F9" s="268">
        <v>4</v>
      </c>
      <c r="G9" s="268">
        <v>5</v>
      </c>
    </row>
    <row r="10" spans="1:7" s="267" customFormat="1" ht="23.25" customHeight="1">
      <c r="A10" s="283" t="s">
        <v>10</v>
      </c>
      <c r="B10" s="302" t="s">
        <v>147</v>
      </c>
      <c r="C10" s="303"/>
      <c r="D10" s="303"/>
      <c r="E10" s="303"/>
      <c r="F10" s="290"/>
      <c r="G10" s="290"/>
    </row>
    <row r="11" spans="1:7" s="306" customFormat="1" ht="23.25" customHeight="1">
      <c r="A11" s="283" t="s">
        <v>21</v>
      </c>
      <c r="B11" s="302" t="s">
        <v>0</v>
      </c>
      <c r="C11" s="304">
        <f>C12+C13+C18+C17</f>
        <v>715818</v>
      </c>
      <c r="D11" s="304">
        <f>D12+D13+D18+D17+D16</f>
        <v>843041</v>
      </c>
      <c r="E11" s="304">
        <f>E12+E13+E18+E17+E16</f>
        <v>948814</v>
      </c>
      <c r="F11" s="285">
        <f>E11-D11</f>
        <v>105773</v>
      </c>
      <c r="G11" s="305">
        <f>E11/D11</f>
        <v>1.1254660212255394</v>
      </c>
    </row>
    <row r="12" spans="1:9" s="267" customFormat="1" ht="23.25" customHeight="1">
      <c r="A12" s="288">
        <v>1</v>
      </c>
      <c r="B12" s="289" t="s">
        <v>53</v>
      </c>
      <c r="C12" s="303">
        <f>51145</f>
        <v>51145</v>
      </c>
      <c r="D12" s="303">
        <f>50210</f>
        <v>50210</v>
      </c>
      <c r="E12" s="303">
        <f>50600</f>
        <v>50600</v>
      </c>
      <c r="F12" s="290">
        <f>E12-D12</f>
        <v>390</v>
      </c>
      <c r="G12" s="307">
        <f>E12/D12</f>
        <v>1.0077673770165305</v>
      </c>
      <c r="I12" s="359">
        <f>C12-C28</f>
        <v>46705</v>
      </c>
    </row>
    <row r="13" spans="1:7" s="267" customFormat="1" ht="23.25" customHeight="1">
      <c r="A13" s="292">
        <f>A12+1</f>
        <v>2</v>
      </c>
      <c r="B13" s="289" t="s">
        <v>48</v>
      </c>
      <c r="C13" s="303">
        <f>C14+C15</f>
        <v>664673</v>
      </c>
      <c r="D13" s="303">
        <f>D14+D15</f>
        <v>752248</v>
      </c>
      <c r="E13" s="303">
        <f>E14+E15</f>
        <v>898214</v>
      </c>
      <c r="F13" s="290">
        <f>E13-D13</f>
        <v>145966</v>
      </c>
      <c r="G13" s="307">
        <f>E13/D13</f>
        <v>1.194039731577884</v>
      </c>
    </row>
    <row r="14" spans="1:7" s="267" customFormat="1" ht="23.25" customHeight="1">
      <c r="A14" s="288" t="s">
        <v>18</v>
      </c>
      <c r="B14" s="289" t="s">
        <v>79</v>
      </c>
      <c r="C14" s="303">
        <v>664529</v>
      </c>
      <c r="D14" s="303">
        <v>664529</v>
      </c>
      <c r="E14" s="303">
        <v>684106</v>
      </c>
      <c r="F14" s="290">
        <f>E14-D14</f>
        <v>19577</v>
      </c>
      <c r="G14" s="307">
        <f>E14/D14</f>
        <v>1.029459963372554</v>
      </c>
    </row>
    <row r="15" spans="1:7" s="267" customFormat="1" ht="23.25" customHeight="1">
      <c r="A15" s="288" t="s">
        <v>18</v>
      </c>
      <c r="B15" s="289" t="s">
        <v>90</v>
      </c>
      <c r="C15" s="303">
        <v>144</v>
      </c>
      <c r="D15" s="303">
        <v>87719</v>
      </c>
      <c r="E15" s="303">
        <v>214108</v>
      </c>
      <c r="F15" s="290">
        <f>E15-D15</f>
        <v>126389</v>
      </c>
      <c r="G15" s="307">
        <f>E15/D15</f>
        <v>2.440839498854296</v>
      </c>
    </row>
    <row r="16" spans="1:7" s="267" customFormat="1" ht="23.25" customHeight="1">
      <c r="A16" s="292">
        <v>3</v>
      </c>
      <c r="B16" s="289" t="s">
        <v>355</v>
      </c>
      <c r="C16" s="303"/>
      <c r="D16" s="303">
        <v>521</v>
      </c>
      <c r="E16" s="303"/>
      <c r="F16" s="290"/>
      <c r="G16" s="307"/>
    </row>
    <row r="17" spans="1:7" s="267" customFormat="1" ht="23.25" customHeight="1">
      <c r="A17" s="292">
        <v>3</v>
      </c>
      <c r="B17" s="289" t="s">
        <v>74</v>
      </c>
      <c r="C17" s="303"/>
      <c r="D17" s="303">
        <v>40062</v>
      </c>
      <c r="E17" s="303"/>
      <c r="F17" s="290"/>
      <c r="G17" s="307"/>
    </row>
    <row r="18" spans="1:7" s="267" customFormat="1" ht="23.25" customHeight="1">
      <c r="A18" s="292">
        <v>4</v>
      </c>
      <c r="B18" s="289" t="s">
        <v>46</v>
      </c>
      <c r="C18" s="303"/>
      <c r="D18" s="303">
        <v>0</v>
      </c>
      <c r="E18" s="303"/>
      <c r="F18" s="290"/>
      <c r="G18" s="307"/>
    </row>
    <row r="19" spans="1:7" s="306" customFormat="1" ht="23.25" customHeight="1">
      <c r="A19" s="283" t="s">
        <v>22</v>
      </c>
      <c r="B19" s="302" t="s">
        <v>52</v>
      </c>
      <c r="C19" s="304">
        <f>C20+C21+C24+C25</f>
        <v>715818</v>
      </c>
      <c r="D19" s="304">
        <f>D20+D21+D24+D25</f>
        <v>843041</v>
      </c>
      <c r="E19" s="304">
        <f>E20+E21+E24+E25</f>
        <v>948814</v>
      </c>
      <c r="F19" s="285">
        <f>F20+F21+F24+F25</f>
        <v>232996</v>
      </c>
      <c r="G19" s="305">
        <f>E19/D19</f>
        <v>1.1254660212255394</v>
      </c>
    </row>
    <row r="20" spans="1:7" s="267" customFormat="1" ht="23.25" customHeight="1">
      <c r="A20" s="288">
        <v>1</v>
      </c>
      <c r="B20" s="289" t="s">
        <v>148</v>
      </c>
      <c r="C20" s="290">
        <f>C11-C21-C24</f>
        <v>631531</v>
      </c>
      <c r="D20" s="303">
        <f>D11-D21-D24-D25</f>
        <v>708233</v>
      </c>
      <c r="E20" s="308">
        <f>E11-E21</f>
        <v>805073</v>
      </c>
      <c r="F20" s="290">
        <f>E20-C20</f>
        <v>173542</v>
      </c>
      <c r="G20" s="307">
        <f>E20/D20</f>
        <v>1.1367346621803842</v>
      </c>
    </row>
    <row r="21" spans="1:7" s="267" customFormat="1" ht="23.25" customHeight="1">
      <c r="A21" s="292">
        <f>A20+1</f>
        <v>2</v>
      </c>
      <c r="B21" s="289" t="s">
        <v>78</v>
      </c>
      <c r="C21" s="309">
        <f>C22+C23</f>
        <v>84287</v>
      </c>
      <c r="D21" s="303">
        <f>D22+D23</f>
        <v>104287</v>
      </c>
      <c r="E21" s="308">
        <f>E22+E23</f>
        <v>143741</v>
      </c>
      <c r="F21" s="290">
        <f>E21-C21</f>
        <v>59454</v>
      </c>
      <c r="G21" s="307">
        <f>E21/D21</f>
        <v>1.378321363161276</v>
      </c>
    </row>
    <row r="22" spans="1:7" s="267" customFormat="1" ht="23.25" customHeight="1">
      <c r="A22" s="288" t="s">
        <v>18</v>
      </c>
      <c r="B22" s="289" t="s">
        <v>1</v>
      </c>
      <c r="C22" s="310">
        <v>84287</v>
      </c>
      <c r="D22" s="310">
        <v>84287</v>
      </c>
      <c r="E22" s="308">
        <v>88891</v>
      </c>
      <c r="F22" s="290">
        <f>E22-C22</f>
        <v>4604</v>
      </c>
      <c r="G22" s="307">
        <f>E22/D22</f>
        <v>1.0546228955829486</v>
      </c>
    </row>
    <row r="23" spans="1:7" s="267" customFormat="1" ht="23.25" customHeight="1">
      <c r="A23" s="288" t="s">
        <v>18</v>
      </c>
      <c r="B23" s="289" t="s">
        <v>91</v>
      </c>
      <c r="C23" s="308"/>
      <c r="D23" s="303">
        <f>C23+20000</f>
        <v>20000</v>
      </c>
      <c r="E23" s="308">
        <v>54850</v>
      </c>
      <c r="F23" s="290">
        <f>E23-C23</f>
        <v>54850</v>
      </c>
      <c r="G23" s="307">
        <f>E23/D23</f>
        <v>2.7425</v>
      </c>
    </row>
    <row r="24" spans="1:7" s="267" customFormat="1" ht="23.25" customHeight="1">
      <c r="A24" s="292">
        <f>A21+1</f>
        <v>3</v>
      </c>
      <c r="B24" s="289" t="s">
        <v>235</v>
      </c>
      <c r="C24" s="303"/>
      <c r="D24" s="303">
        <v>521</v>
      </c>
      <c r="E24" s="303"/>
      <c r="F24" s="290"/>
      <c r="G24" s="307"/>
    </row>
    <row r="25" spans="1:7" s="267" customFormat="1" ht="23.25" customHeight="1">
      <c r="A25" s="292">
        <v>4</v>
      </c>
      <c r="B25" s="289" t="s">
        <v>68</v>
      </c>
      <c r="C25" s="303"/>
      <c r="D25" s="303">
        <v>30000</v>
      </c>
      <c r="E25" s="303"/>
      <c r="F25" s="290"/>
      <c r="G25" s="307"/>
    </row>
    <row r="26" spans="1:7" s="267" customFormat="1" ht="23.25" customHeight="1">
      <c r="A26" s="283" t="s">
        <v>11</v>
      </c>
      <c r="B26" s="284" t="s">
        <v>149</v>
      </c>
      <c r="C26" s="304"/>
      <c r="D26" s="304"/>
      <c r="E26" s="304"/>
      <c r="F26" s="285"/>
      <c r="G26" s="305"/>
    </row>
    <row r="27" spans="1:7" s="267" customFormat="1" ht="23.25" customHeight="1">
      <c r="A27" s="283" t="s">
        <v>21</v>
      </c>
      <c r="B27" s="302" t="s">
        <v>2</v>
      </c>
      <c r="C27" s="304">
        <f>+C28+C29+C33+C32</f>
        <v>88727</v>
      </c>
      <c r="D27" s="304">
        <f>+D28+D29+D33+D32</f>
        <v>100005</v>
      </c>
      <c r="E27" s="304">
        <f>+E28+E29+E33+E32</f>
        <v>147721</v>
      </c>
      <c r="F27" s="285">
        <f>E27-D27</f>
        <v>47716</v>
      </c>
      <c r="G27" s="305">
        <f>E27/D27</f>
        <v>1.4771361431928403</v>
      </c>
    </row>
    <row r="28" spans="1:7" s="267" customFormat="1" ht="23.25" customHeight="1">
      <c r="A28" s="288">
        <v>1</v>
      </c>
      <c r="B28" s="289" t="s">
        <v>53</v>
      </c>
      <c r="C28" s="303">
        <v>4440</v>
      </c>
      <c r="D28" s="358">
        <v>1868</v>
      </c>
      <c r="E28" s="303">
        <v>3980</v>
      </c>
      <c r="F28" s="290">
        <f>E28-D28</f>
        <v>2112</v>
      </c>
      <c r="G28" s="307">
        <f>E28/D28</f>
        <v>2.1306209850107067</v>
      </c>
    </row>
    <row r="29" spans="1:7" s="267" customFormat="1" ht="23.25" customHeight="1">
      <c r="A29" s="292">
        <f>A28+1</f>
        <v>2</v>
      </c>
      <c r="B29" s="289" t="s">
        <v>48</v>
      </c>
      <c r="C29" s="303">
        <f>SUM(C30:C31)</f>
        <v>84287</v>
      </c>
      <c r="D29" s="303">
        <f>SUM(D30:D31)</f>
        <v>95022</v>
      </c>
      <c r="E29" s="303">
        <f>SUM(E30:E31)</f>
        <v>143741</v>
      </c>
      <c r="F29" s="290">
        <f>E29-D29</f>
        <v>48719</v>
      </c>
      <c r="G29" s="307">
        <f>E29/D29</f>
        <v>1.5127128454463177</v>
      </c>
    </row>
    <row r="30" spans="1:7" s="267" customFormat="1" ht="23.25" customHeight="1">
      <c r="A30" s="288" t="s">
        <v>18</v>
      </c>
      <c r="B30" s="289" t="s">
        <v>79</v>
      </c>
      <c r="C30" s="310">
        <v>84287</v>
      </c>
      <c r="D30" s="310">
        <v>84287</v>
      </c>
      <c r="E30" s="308">
        <f>E22</f>
        <v>88891</v>
      </c>
      <c r="F30" s="290">
        <f>E30-D30</f>
        <v>4604</v>
      </c>
      <c r="G30" s="307">
        <f>E30/D30</f>
        <v>1.0546228955829486</v>
      </c>
    </row>
    <row r="31" spans="1:7" s="267" customFormat="1" ht="23.25" customHeight="1">
      <c r="A31" s="288" t="s">
        <v>18</v>
      </c>
      <c r="B31" s="289" t="s">
        <v>90</v>
      </c>
      <c r="C31" s="303"/>
      <c r="D31" s="303">
        <f>6478+2077+180+2000</f>
        <v>10735</v>
      </c>
      <c r="E31" s="308">
        <f>E23</f>
        <v>54850</v>
      </c>
      <c r="F31" s="290">
        <f>E31-D31</f>
        <v>44115</v>
      </c>
      <c r="G31" s="307">
        <f>E31/D31</f>
        <v>5.109455053563111</v>
      </c>
    </row>
    <row r="32" spans="1:7" s="267" customFormat="1" ht="23.25" customHeight="1">
      <c r="A32" s="292">
        <v>3</v>
      </c>
      <c r="B32" s="289" t="s">
        <v>74</v>
      </c>
      <c r="C32" s="303"/>
      <c r="D32" s="303">
        <v>3115</v>
      </c>
      <c r="E32" s="303"/>
      <c r="F32" s="290"/>
      <c r="G32" s="307"/>
    </row>
    <row r="33" spans="1:7" s="267" customFormat="1" ht="23.25" customHeight="1">
      <c r="A33" s="292">
        <v>4</v>
      </c>
      <c r="B33" s="289" t="s">
        <v>46</v>
      </c>
      <c r="C33" s="303"/>
      <c r="D33" s="303"/>
      <c r="E33" s="303"/>
      <c r="F33" s="311"/>
      <c r="G33" s="307"/>
    </row>
    <row r="34" spans="1:7" s="267" customFormat="1" ht="23.25" customHeight="1">
      <c r="A34" s="283" t="s">
        <v>22</v>
      </c>
      <c r="B34" s="302" t="s">
        <v>52</v>
      </c>
      <c r="C34" s="304">
        <f>C35+C36+C37</f>
        <v>88727</v>
      </c>
      <c r="D34" s="304">
        <f>D35+D36+D37</f>
        <v>100005</v>
      </c>
      <c r="E34" s="304">
        <f>E35+E36+E37</f>
        <v>147721</v>
      </c>
      <c r="F34" s="304">
        <f>F35+F36+F37</f>
        <v>58994</v>
      </c>
      <c r="G34" s="305">
        <f>E34/D34</f>
        <v>1.4771361431928403</v>
      </c>
    </row>
    <row r="35" spans="1:7" s="267" customFormat="1" ht="23.25" customHeight="1">
      <c r="A35" s="288">
        <v>1</v>
      </c>
      <c r="B35" s="289" t="s">
        <v>150</v>
      </c>
      <c r="C35" s="303">
        <f>C27</f>
        <v>88727</v>
      </c>
      <c r="D35" s="303">
        <f>D27-D37</f>
        <v>94425</v>
      </c>
      <c r="E35" s="303">
        <f>E27</f>
        <v>147721</v>
      </c>
      <c r="F35" s="290">
        <f>E35-C35</f>
        <v>58994</v>
      </c>
      <c r="G35" s="307">
        <f>E35/D35</f>
        <v>1.5644267937516547</v>
      </c>
    </row>
    <row r="36" spans="1:7" s="267" customFormat="1" ht="23.25" customHeight="1">
      <c r="A36" s="288">
        <v>2</v>
      </c>
      <c r="B36" s="289" t="s">
        <v>235</v>
      </c>
      <c r="C36" s="303"/>
      <c r="D36" s="303"/>
      <c r="E36" s="303"/>
      <c r="F36" s="290"/>
      <c r="G36" s="307"/>
    </row>
    <row r="37" spans="1:7" s="267" customFormat="1" ht="23.25" customHeight="1" thickBot="1">
      <c r="A37" s="441">
        <v>3</v>
      </c>
      <c r="B37" s="445" t="s">
        <v>68</v>
      </c>
      <c r="C37" s="446"/>
      <c r="D37" s="446">
        <f>18*300+180</f>
        <v>5580</v>
      </c>
      <c r="E37" s="446"/>
      <c r="F37" s="443"/>
      <c r="G37" s="447"/>
    </row>
    <row r="38" spans="1:7" ht="19.5" thickTop="1">
      <c r="A38" s="267"/>
      <c r="B38" s="267"/>
      <c r="C38" s="299"/>
      <c r="D38" s="299"/>
      <c r="E38" s="299"/>
      <c r="F38" s="267"/>
      <c r="G38" s="267"/>
    </row>
    <row r="39" spans="1:7" ht="18.75">
      <c r="A39" s="267"/>
      <c r="B39" s="267"/>
      <c r="C39" s="299"/>
      <c r="D39" s="299"/>
      <c r="E39" s="299"/>
      <c r="F39" s="267"/>
      <c r="G39" s="267"/>
    </row>
    <row r="40" spans="1:7" ht="18.75">
      <c r="A40" s="267"/>
      <c r="B40" s="267"/>
      <c r="C40" s="299"/>
      <c r="D40" s="299"/>
      <c r="E40" s="299"/>
      <c r="F40" s="267"/>
      <c r="G40" s="267"/>
    </row>
    <row r="41" spans="1:7" ht="18.75">
      <c r="A41" s="267"/>
      <c r="B41" s="267"/>
      <c r="C41" s="299"/>
      <c r="D41" s="299"/>
      <c r="E41" s="299"/>
      <c r="F41" s="267"/>
      <c r="G41" s="267"/>
    </row>
    <row r="42" spans="1:7" ht="22.5" customHeight="1">
      <c r="A42" s="267"/>
      <c r="B42" s="267"/>
      <c r="C42" s="299"/>
      <c r="D42" s="299"/>
      <c r="E42" s="299"/>
      <c r="F42" s="267"/>
      <c r="G42" s="267"/>
    </row>
    <row r="43" spans="1:7" ht="18.75">
      <c r="A43" s="267"/>
      <c r="B43" s="267"/>
      <c r="C43" s="299"/>
      <c r="D43" s="299"/>
      <c r="E43" s="299"/>
      <c r="F43" s="267"/>
      <c r="G43" s="267"/>
    </row>
    <row r="44" spans="1:7" ht="18.75">
      <c r="A44" s="267"/>
      <c r="B44" s="267"/>
      <c r="C44" s="299"/>
      <c r="D44" s="299"/>
      <c r="E44" s="299"/>
      <c r="F44" s="267"/>
      <c r="G44" s="267"/>
    </row>
    <row r="45" spans="1:7" ht="18.75">
      <c r="A45" s="267"/>
      <c r="B45" s="267"/>
      <c r="C45" s="299"/>
      <c r="D45" s="299"/>
      <c r="E45" s="299"/>
      <c r="F45" s="267"/>
      <c r="G45" s="267"/>
    </row>
    <row r="46" spans="1:7" ht="18.75">
      <c r="A46" s="267"/>
      <c r="B46" s="267"/>
      <c r="C46" s="299"/>
      <c r="D46" s="299"/>
      <c r="E46" s="299"/>
      <c r="F46" s="267"/>
      <c r="G46" s="267"/>
    </row>
  </sheetData>
  <sheetProtection/>
  <mergeCells count="12">
    <mergeCell ref="A2:G2"/>
    <mergeCell ref="A3:G3"/>
    <mergeCell ref="A4:G4"/>
    <mergeCell ref="F5:G5"/>
    <mergeCell ref="A6:A8"/>
    <mergeCell ref="B6:B8"/>
    <mergeCell ref="C6:C8"/>
    <mergeCell ref="D6:D8"/>
    <mergeCell ref="E6:E8"/>
    <mergeCell ref="F6:G6"/>
    <mergeCell ref="F7:F8"/>
    <mergeCell ref="G7:G8"/>
  </mergeCells>
  <printOptions horizontalCentered="1"/>
  <pageMargins left="0.54" right="0.3" top="0.94" bottom="0.17" header="0.48" footer="0.2"/>
  <pageSetup fitToHeight="0" fitToWidth="1" horizontalDpi="600" verticalDpi="600" orientation="portrait" paperSize="9" scale="87" r:id="rId3"/>
  <headerFooter alignWithMargins="0">
    <oddFooter>&amp;C&amp;".VnTime,Italic"&amp;8
</oddFoot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N31"/>
  <sheetViews>
    <sheetView view="pageBreakPreview" zoomScale="60" zoomScalePageLayoutView="0" workbookViewId="0" topLeftCell="A1">
      <selection activeCell="Q45" sqref="Q45"/>
    </sheetView>
  </sheetViews>
  <sheetFormatPr defaultColWidth="8.796875" defaultRowHeight="15"/>
  <cols>
    <col min="1" max="1" width="6" style="57" customWidth="1"/>
    <col min="2" max="2" width="15" style="57" bestFit="1" customWidth="1"/>
    <col min="3" max="5" width="9" style="57" customWidth="1"/>
    <col min="6" max="6" width="10.69921875" style="57" customWidth="1"/>
    <col min="7" max="9" width="9" style="57" customWidth="1"/>
    <col min="10" max="10" width="11" style="57" customWidth="1"/>
    <col min="11" max="13" width="9" style="57" customWidth="1"/>
    <col min="14" max="14" width="10.8984375" style="57" customWidth="1"/>
    <col min="15" max="16384" width="9" style="57" customWidth="1"/>
  </cols>
  <sheetData>
    <row r="1" spans="1:14" s="28" customFormat="1" ht="19.5" customHeight="1">
      <c r="A1" s="67"/>
      <c r="B1" s="99"/>
      <c r="C1" s="101"/>
      <c r="D1" s="101"/>
      <c r="E1" s="378"/>
      <c r="F1" s="378"/>
      <c r="G1" s="378"/>
      <c r="H1" s="378"/>
      <c r="I1" s="378"/>
      <c r="J1" s="378"/>
      <c r="K1" s="67"/>
      <c r="L1" s="67"/>
      <c r="M1" s="67"/>
      <c r="N1" s="102" t="s">
        <v>258</v>
      </c>
    </row>
    <row r="2" spans="1:14" s="28" customFormat="1" ht="19.5" customHeight="1">
      <c r="A2" s="365" t="s">
        <v>331</v>
      </c>
      <c r="B2" s="365"/>
      <c r="C2" s="365"/>
      <c r="D2" s="365"/>
      <c r="E2" s="365"/>
      <c r="F2" s="365"/>
      <c r="G2" s="365"/>
      <c r="H2" s="365"/>
      <c r="I2" s="365"/>
      <c r="J2" s="365"/>
      <c r="K2" s="365"/>
      <c r="L2" s="365"/>
      <c r="M2" s="365"/>
      <c r="N2" s="365"/>
    </row>
    <row r="3" spans="1:14" s="28" customFormat="1" ht="18" customHeight="1">
      <c r="A3" s="368" t="str">
        <f>PL30!A4</f>
        <v>(Kèm theo Nghị quyết số       /NQ-HĐND ngày       tháng 12 năm 2022 của HĐND huyện Tuần Giáo)</v>
      </c>
      <c r="B3" s="368"/>
      <c r="C3" s="368"/>
      <c r="D3" s="368"/>
      <c r="E3" s="368"/>
      <c r="F3" s="368"/>
      <c r="G3" s="368"/>
      <c r="H3" s="368"/>
      <c r="I3" s="368"/>
      <c r="J3" s="368"/>
      <c r="K3" s="368"/>
      <c r="L3" s="368"/>
      <c r="M3" s="368"/>
      <c r="N3" s="368"/>
    </row>
    <row r="4" spans="1:14" s="28" customFormat="1" ht="18.75" customHeight="1">
      <c r="A4" s="67"/>
      <c r="B4" s="122"/>
      <c r="C4" s="122"/>
      <c r="D4" s="122"/>
      <c r="E4" s="122"/>
      <c r="F4" s="122"/>
      <c r="G4" s="122"/>
      <c r="H4" s="122"/>
      <c r="I4" s="122"/>
      <c r="J4" s="122"/>
      <c r="K4" s="67"/>
      <c r="L4" s="67"/>
      <c r="M4" s="377" t="s">
        <v>92</v>
      </c>
      <c r="N4" s="377"/>
    </row>
    <row r="5" spans="1:14" ht="23.25" customHeight="1">
      <c r="A5" s="369" t="s">
        <v>62</v>
      </c>
      <c r="B5" s="369" t="s">
        <v>260</v>
      </c>
      <c r="C5" s="369" t="s">
        <v>270</v>
      </c>
      <c r="D5" s="369"/>
      <c r="E5" s="369"/>
      <c r="F5" s="369"/>
      <c r="G5" s="369" t="s">
        <v>304</v>
      </c>
      <c r="H5" s="369"/>
      <c r="I5" s="369"/>
      <c r="J5" s="369"/>
      <c r="K5" s="369" t="s">
        <v>96</v>
      </c>
      <c r="L5" s="369"/>
      <c r="M5" s="369"/>
      <c r="N5" s="369"/>
    </row>
    <row r="6" spans="1:14" ht="23.25" customHeight="1">
      <c r="A6" s="369"/>
      <c r="B6" s="369"/>
      <c r="C6" s="369" t="s">
        <v>81</v>
      </c>
      <c r="D6" s="369" t="s">
        <v>49</v>
      </c>
      <c r="E6" s="369"/>
      <c r="F6" s="369"/>
      <c r="G6" s="369" t="s">
        <v>249</v>
      </c>
      <c r="H6" s="369" t="s">
        <v>49</v>
      </c>
      <c r="I6" s="369"/>
      <c r="J6" s="369"/>
      <c r="K6" s="369" t="s">
        <v>81</v>
      </c>
      <c r="L6" s="369" t="s">
        <v>49</v>
      </c>
      <c r="M6" s="369"/>
      <c r="N6" s="369"/>
    </row>
    <row r="7" spans="1:14" ht="53.25" customHeight="1">
      <c r="A7" s="369"/>
      <c r="B7" s="369"/>
      <c r="C7" s="369"/>
      <c r="D7" s="92" t="s">
        <v>12</v>
      </c>
      <c r="E7" s="92" t="s">
        <v>250</v>
      </c>
      <c r="F7" s="92" t="s">
        <v>251</v>
      </c>
      <c r="G7" s="369"/>
      <c r="H7" s="92" t="s">
        <v>12</v>
      </c>
      <c r="I7" s="92" t="s">
        <v>252</v>
      </c>
      <c r="J7" s="92" t="s">
        <v>253</v>
      </c>
      <c r="K7" s="369"/>
      <c r="L7" s="92" t="s">
        <v>12</v>
      </c>
      <c r="M7" s="92" t="s">
        <v>252</v>
      </c>
      <c r="N7" s="92" t="s">
        <v>253</v>
      </c>
    </row>
    <row r="8" spans="1:14" s="59" customFormat="1" ht="17.25" customHeight="1">
      <c r="A8" s="58" t="s">
        <v>10</v>
      </c>
      <c r="B8" s="58" t="s">
        <v>11</v>
      </c>
      <c r="C8" s="58">
        <v>1</v>
      </c>
      <c r="D8" s="58">
        <v>2</v>
      </c>
      <c r="E8" s="58">
        <v>3</v>
      </c>
      <c r="F8" s="58">
        <v>4</v>
      </c>
      <c r="G8" s="58">
        <v>5</v>
      </c>
      <c r="H8" s="58">
        <v>6</v>
      </c>
      <c r="I8" s="58">
        <v>7</v>
      </c>
      <c r="J8" s="58">
        <v>8</v>
      </c>
      <c r="K8" s="58" t="s">
        <v>254</v>
      </c>
      <c r="L8" s="58" t="s">
        <v>255</v>
      </c>
      <c r="M8" s="58" t="s">
        <v>256</v>
      </c>
      <c r="N8" s="58" t="s">
        <v>257</v>
      </c>
    </row>
    <row r="9" spans="1:14" ht="19.5" customHeight="1">
      <c r="A9" s="91"/>
      <c r="B9" s="117" t="s">
        <v>31</v>
      </c>
      <c r="C9" s="114">
        <f aca="true" t="shared" si="0" ref="C9:J9">SUM(C10:C28)</f>
        <v>1868</v>
      </c>
      <c r="D9" s="114">
        <f t="shared" si="0"/>
        <v>1868</v>
      </c>
      <c r="E9" s="114">
        <f t="shared" si="0"/>
        <v>0</v>
      </c>
      <c r="F9" s="114">
        <f t="shared" si="0"/>
        <v>0</v>
      </c>
      <c r="G9" s="114">
        <f t="shared" si="0"/>
        <v>3980</v>
      </c>
      <c r="H9" s="114">
        <f t="shared" si="0"/>
        <v>3980</v>
      </c>
      <c r="I9" s="114">
        <f t="shared" si="0"/>
        <v>0</v>
      </c>
      <c r="J9" s="114">
        <f t="shared" si="0"/>
        <v>0</v>
      </c>
      <c r="K9" s="125"/>
      <c r="L9" s="125"/>
      <c r="M9" s="125"/>
      <c r="N9" s="125"/>
    </row>
    <row r="10" spans="1:14" ht="19.5" customHeight="1">
      <c r="A10" s="126">
        <v>1</v>
      </c>
      <c r="B10" s="113" t="s">
        <v>313</v>
      </c>
      <c r="C10" s="113">
        <f>SUM(D10:F10)</f>
        <v>95</v>
      </c>
      <c r="D10" s="113">
        <v>95</v>
      </c>
      <c r="E10" s="113">
        <v>0</v>
      </c>
      <c r="F10" s="113">
        <v>0</v>
      </c>
      <c r="G10" s="113">
        <f>SUM(H10:J10)</f>
        <v>105</v>
      </c>
      <c r="H10" s="113">
        <v>105</v>
      </c>
      <c r="I10" s="113">
        <v>0</v>
      </c>
      <c r="J10" s="113">
        <v>0</v>
      </c>
      <c r="K10" s="127">
        <f>G10/C10</f>
        <v>1.105263157894737</v>
      </c>
      <c r="L10" s="127">
        <f>H10/D10</f>
        <v>1.105263157894737</v>
      </c>
      <c r="M10" s="127"/>
      <c r="N10" s="127"/>
    </row>
    <row r="11" spans="1:14" ht="19.5" customHeight="1">
      <c r="A11" s="126">
        <v>2</v>
      </c>
      <c r="B11" s="113" t="s">
        <v>314</v>
      </c>
      <c r="C11" s="113">
        <f aca="true" t="shared" si="1" ref="C11:C28">SUM(D11:F11)</f>
        <v>23</v>
      </c>
      <c r="D11" s="113">
        <v>23</v>
      </c>
      <c r="E11" s="113">
        <v>0</v>
      </c>
      <c r="F11" s="113">
        <v>0</v>
      </c>
      <c r="G11" s="113">
        <f aca="true" t="shared" si="2" ref="G11:G28">SUM(H11:J11)</f>
        <v>28</v>
      </c>
      <c r="H11" s="113">
        <v>28</v>
      </c>
      <c r="I11" s="113">
        <v>0</v>
      </c>
      <c r="J11" s="113">
        <v>0</v>
      </c>
      <c r="K11" s="127">
        <f aca="true" t="shared" si="3" ref="K11:K28">G11/C11</f>
        <v>1.2173913043478262</v>
      </c>
      <c r="L11" s="127">
        <f aca="true" t="shared" si="4" ref="L11:L28">H11/D11</f>
        <v>1.2173913043478262</v>
      </c>
      <c r="M11" s="127"/>
      <c r="N11" s="127"/>
    </row>
    <row r="12" spans="1:14" ht="19.5" customHeight="1">
      <c r="A12" s="126">
        <v>3</v>
      </c>
      <c r="B12" s="113" t="s">
        <v>315</v>
      </c>
      <c r="C12" s="113">
        <f t="shared" si="1"/>
        <v>40</v>
      </c>
      <c r="D12" s="113">
        <v>40</v>
      </c>
      <c r="E12" s="113">
        <v>0</v>
      </c>
      <c r="F12" s="113">
        <v>0</v>
      </c>
      <c r="G12" s="113">
        <f t="shared" si="2"/>
        <v>45</v>
      </c>
      <c r="H12" s="113">
        <v>45</v>
      </c>
      <c r="I12" s="113">
        <v>0</v>
      </c>
      <c r="J12" s="113">
        <v>0</v>
      </c>
      <c r="K12" s="127">
        <f t="shared" si="3"/>
        <v>1.125</v>
      </c>
      <c r="L12" s="127">
        <f t="shared" si="4"/>
        <v>1.125</v>
      </c>
      <c r="M12" s="127"/>
      <c r="N12" s="127"/>
    </row>
    <row r="13" spans="1:14" ht="19.5" customHeight="1">
      <c r="A13" s="126">
        <v>4</v>
      </c>
      <c r="B13" s="113" t="s">
        <v>316</v>
      </c>
      <c r="C13" s="113">
        <f t="shared" si="1"/>
        <v>85</v>
      </c>
      <c r="D13" s="113">
        <v>85</v>
      </c>
      <c r="E13" s="113">
        <v>0</v>
      </c>
      <c r="F13" s="113">
        <v>0</v>
      </c>
      <c r="G13" s="113">
        <f t="shared" si="2"/>
        <v>95</v>
      </c>
      <c r="H13" s="113">
        <v>95</v>
      </c>
      <c r="I13" s="113">
        <v>0</v>
      </c>
      <c r="J13" s="113">
        <v>0</v>
      </c>
      <c r="K13" s="127">
        <f t="shared" si="3"/>
        <v>1.1176470588235294</v>
      </c>
      <c r="L13" s="127">
        <f t="shared" si="4"/>
        <v>1.1176470588235294</v>
      </c>
      <c r="M13" s="127"/>
      <c r="N13" s="127"/>
    </row>
    <row r="14" spans="1:14" ht="19.5" customHeight="1">
      <c r="A14" s="126">
        <v>5</v>
      </c>
      <c r="B14" s="113" t="s">
        <v>317</v>
      </c>
      <c r="C14" s="113">
        <f t="shared" si="1"/>
        <v>50</v>
      </c>
      <c r="D14" s="113">
        <v>50</v>
      </c>
      <c r="E14" s="113">
        <v>0</v>
      </c>
      <c r="F14" s="113">
        <v>0</v>
      </c>
      <c r="G14" s="113">
        <f t="shared" si="2"/>
        <v>50</v>
      </c>
      <c r="H14" s="113">
        <v>50</v>
      </c>
      <c r="I14" s="113">
        <v>0</v>
      </c>
      <c r="J14" s="113">
        <v>0</v>
      </c>
      <c r="K14" s="127">
        <f t="shared" si="3"/>
        <v>1</v>
      </c>
      <c r="L14" s="127">
        <f t="shared" si="4"/>
        <v>1</v>
      </c>
      <c r="M14" s="127"/>
      <c r="N14" s="127"/>
    </row>
    <row r="15" spans="1:14" ht="19.5" customHeight="1">
      <c r="A15" s="126">
        <v>6</v>
      </c>
      <c r="B15" s="113" t="s">
        <v>222</v>
      </c>
      <c r="C15" s="113">
        <f t="shared" si="1"/>
        <v>1188</v>
      </c>
      <c r="D15" s="113">
        <f>6600*18%</f>
        <v>1188</v>
      </c>
      <c r="E15" s="113">
        <v>0</v>
      </c>
      <c r="F15" s="113">
        <v>0</v>
      </c>
      <c r="G15" s="113">
        <f t="shared" si="2"/>
        <v>3245</v>
      </c>
      <c r="H15" s="113">
        <v>3245</v>
      </c>
      <c r="I15" s="113">
        <v>0</v>
      </c>
      <c r="J15" s="113">
        <v>0</v>
      </c>
      <c r="K15" s="127">
        <f t="shared" si="3"/>
        <v>2.7314814814814814</v>
      </c>
      <c r="L15" s="127">
        <f t="shared" si="4"/>
        <v>2.7314814814814814</v>
      </c>
      <c r="M15" s="127"/>
      <c r="N15" s="127"/>
    </row>
    <row r="16" spans="1:14" ht="19.5" customHeight="1">
      <c r="A16" s="126">
        <v>7</v>
      </c>
      <c r="B16" s="113" t="s">
        <v>318</v>
      </c>
      <c r="C16" s="113">
        <f t="shared" si="1"/>
        <v>80</v>
      </c>
      <c r="D16" s="113">
        <v>80</v>
      </c>
      <c r="E16" s="113">
        <v>0</v>
      </c>
      <c r="F16" s="113">
        <v>0</v>
      </c>
      <c r="G16" s="113">
        <f t="shared" si="2"/>
        <v>90</v>
      </c>
      <c r="H16" s="113">
        <v>90</v>
      </c>
      <c r="I16" s="113">
        <v>0</v>
      </c>
      <c r="J16" s="113">
        <v>0</v>
      </c>
      <c r="K16" s="127">
        <f t="shared" si="3"/>
        <v>1.125</v>
      </c>
      <c r="L16" s="127">
        <f t="shared" si="4"/>
        <v>1.125</v>
      </c>
      <c r="M16" s="127"/>
      <c r="N16" s="127"/>
    </row>
    <row r="17" spans="1:14" ht="19.5" customHeight="1">
      <c r="A17" s="126">
        <v>8</v>
      </c>
      <c r="B17" s="113" t="s">
        <v>319</v>
      </c>
      <c r="C17" s="113">
        <f t="shared" si="1"/>
        <v>30</v>
      </c>
      <c r="D17" s="113">
        <v>30</v>
      </c>
      <c r="E17" s="113">
        <v>0</v>
      </c>
      <c r="F17" s="113">
        <v>0</v>
      </c>
      <c r="G17" s="113">
        <f t="shared" si="2"/>
        <v>30</v>
      </c>
      <c r="H17" s="113">
        <v>30</v>
      </c>
      <c r="I17" s="113">
        <v>0</v>
      </c>
      <c r="J17" s="113">
        <v>0</v>
      </c>
      <c r="K17" s="127">
        <f t="shared" si="3"/>
        <v>1</v>
      </c>
      <c r="L17" s="127">
        <f t="shared" si="4"/>
        <v>1</v>
      </c>
      <c r="M17" s="127"/>
      <c r="N17" s="127"/>
    </row>
    <row r="18" spans="1:14" ht="19.5" customHeight="1">
      <c r="A18" s="126">
        <v>9</v>
      </c>
      <c r="B18" s="113" t="s">
        <v>320</v>
      </c>
      <c r="C18" s="113">
        <f t="shared" si="1"/>
        <v>40</v>
      </c>
      <c r="D18" s="113">
        <v>40</v>
      </c>
      <c r="E18" s="113">
        <v>0</v>
      </c>
      <c r="F18" s="113">
        <v>0</v>
      </c>
      <c r="G18" s="113">
        <f t="shared" si="2"/>
        <v>40</v>
      </c>
      <c r="H18" s="113">
        <v>40</v>
      </c>
      <c r="I18" s="113">
        <v>0</v>
      </c>
      <c r="J18" s="113">
        <v>0</v>
      </c>
      <c r="K18" s="127">
        <f t="shared" si="3"/>
        <v>1</v>
      </c>
      <c r="L18" s="127">
        <f t="shared" si="4"/>
        <v>1</v>
      </c>
      <c r="M18" s="127"/>
      <c r="N18" s="127"/>
    </row>
    <row r="19" spans="1:14" ht="19.5" customHeight="1">
      <c r="A19" s="126">
        <v>10</v>
      </c>
      <c r="B19" s="113" t="s">
        <v>321</v>
      </c>
      <c r="C19" s="113">
        <f t="shared" si="1"/>
        <v>20</v>
      </c>
      <c r="D19" s="113">
        <v>20</v>
      </c>
      <c r="E19" s="113">
        <v>0</v>
      </c>
      <c r="F19" s="113">
        <v>0</v>
      </c>
      <c r="G19" s="113">
        <f t="shared" si="2"/>
        <v>20</v>
      </c>
      <c r="H19" s="113">
        <v>20</v>
      </c>
      <c r="I19" s="113">
        <v>0</v>
      </c>
      <c r="J19" s="113">
        <v>0</v>
      </c>
      <c r="K19" s="127">
        <f t="shared" si="3"/>
        <v>1</v>
      </c>
      <c r="L19" s="127">
        <f t="shared" si="4"/>
        <v>1</v>
      </c>
      <c r="M19" s="127"/>
      <c r="N19" s="127"/>
    </row>
    <row r="20" spans="1:14" ht="19.5" customHeight="1">
      <c r="A20" s="126">
        <v>11</v>
      </c>
      <c r="B20" s="113" t="s">
        <v>322</v>
      </c>
      <c r="C20" s="113">
        <f t="shared" si="1"/>
        <v>30</v>
      </c>
      <c r="D20" s="113">
        <v>30</v>
      </c>
      <c r="E20" s="113">
        <v>0</v>
      </c>
      <c r="F20" s="113">
        <v>0</v>
      </c>
      <c r="G20" s="113">
        <f t="shared" si="2"/>
        <v>30</v>
      </c>
      <c r="H20" s="113">
        <v>30</v>
      </c>
      <c r="I20" s="113">
        <v>0</v>
      </c>
      <c r="J20" s="113">
        <v>0</v>
      </c>
      <c r="K20" s="127">
        <f t="shared" si="3"/>
        <v>1</v>
      </c>
      <c r="L20" s="127">
        <f t="shared" si="4"/>
        <v>1</v>
      </c>
      <c r="M20" s="127"/>
      <c r="N20" s="127"/>
    </row>
    <row r="21" spans="1:14" ht="19.5" customHeight="1">
      <c r="A21" s="126">
        <v>12</v>
      </c>
      <c r="B21" s="113" t="s">
        <v>323</v>
      </c>
      <c r="C21" s="113">
        <f t="shared" si="1"/>
        <v>17</v>
      </c>
      <c r="D21" s="113">
        <v>17</v>
      </c>
      <c r="E21" s="113">
        <v>0</v>
      </c>
      <c r="F21" s="113">
        <v>0</v>
      </c>
      <c r="G21" s="113">
        <f t="shared" si="2"/>
        <v>17</v>
      </c>
      <c r="H21" s="113">
        <v>17</v>
      </c>
      <c r="I21" s="113">
        <v>0</v>
      </c>
      <c r="J21" s="113">
        <v>0</v>
      </c>
      <c r="K21" s="127">
        <f t="shared" si="3"/>
        <v>1</v>
      </c>
      <c r="L21" s="127">
        <f t="shared" si="4"/>
        <v>1</v>
      </c>
      <c r="M21" s="127"/>
      <c r="N21" s="127"/>
    </row>
    <row r="22" spans="1:14" ht="19.5" customHeight="1">
      <c r="A22" s="126">
        <v>13</v>
      </c>
      <c r="B22" s="113" t="s">
        <v>324</v>
      </c>
      <c r="C22" s="113">
        <f t="shared" si="1"/>
        <v>17</v>
      </c>
      <c r="D22" s="113">
        <v>17</v>
      </c>
      <c r="E22" s="113">
        <v>0</v>
      </c>
      <c r="F22" s="113">
        <v>0</v>
      </c>
      <c r="G22" s="113">
        <f t="shared" si="2"/>
        <v>17</v>
      </c>
      <c r="H22" s="113">
        <v>17</v>
      </c>
      <c r="I22" s="113">
        <v>0</v>
      </c>
      <c r="J22" s="113">
        <v>0</v>
      </c>
      <c r="K22" s="127">
        <f t="shared" si="3"/>
        <v>1</v>
      </c>
      <c r="L22" s="127">
        <f t="shared" si="4"/>
        <v>1</v>
      </c>
      <c r="M22" s="127"/>
      <c r="N22" s="127"/>
    </row>
    <row r="23" spans="1:14" ht="19.5" customHeight="1">
      <c r="A23" s="126">
        <v>14</v>
      </c>
      <c r="B23" s="113" t="s">
        <v>325</v>
      </c>
      <c r="C23" s="113">
        <f t="shared" si="1"/>
        <v>20</v>
      </c>
      <c r="D23" s="113">
        <v>20</v>
      </c>
      <c r="E23" s="113">
        <v>0</v>
      </c>
      <c r="F23" s="113">
        <v>0</v>
      </c>
      <c r="G23" s="113">
        <f t="shared" si="2"/>
        <v>20</v>
      </c>
      <c r="H23" s="113">
        <v>20</v>
      </c>
      <c r="I23" s="113">
        <v>0</v>
      </c>
      <c r="J23" s="113">
        <v>0</v>
      </c>
      <c r="K23" s="127">
        <f t="shared" si="3"/>
        <v>1</v>
      </c>
      <c r="L23" s="127">
        <f t="shared" si="4"/>
        <v>1</v>
      </c>
      <c r="M23" s="127"/>
      <c r="N23" s="127"/>
    </row>
    <row r="24" spans="1:14" ht="19.5" customHeight="1">
      <c r="A24" s="126">
        <v>15</v>
      </c>
      <c r="B24" s="113" t="s">
        <v>326</v>
      </c>
      <c r="C24" s="113">
        <f t="shared" si="1"/>
        <v>15</v>
      </c>
      <c r="D24" s="113">
        <v>15</v>
      </c>
      <c r="E24" s="113">
        <v>0</v>
      </c>
      <c r="F24" s="113">
        <v>0</v>
      </c>
      <c r="G24" s="113">
        <f t="shared" si="2"/>
        <v>15</v>
      </c>
      <c r="H24" s="113">
        <v>15</v>
      </c>
      <c r="I24" s="113">
        <v>0</v>
      </c>
      <c r="J24" s="113">
        <v>0</v>
      </c>
      <c r="K24" s="127">
        <f t="shared" si="3"/>
        <v>1</v>
      </c>
      <c r="L24" s="127">
        <f t="shared" si="4"/>
        <v>1</v>
      </c>
      <c r="M24" s="127"/>
      <c r="N24" s="127"/>
    </row>
    <row r="25" spans="1:14" ht="19.5" customHeight="1">
      <c r="A25" s="126">
        <v>16</v>
      </c>
      <c r="B25" s="113" t="s">
        <v>327</v>
      </c>
      <c r="C25" s="113">
        <f t="shared" si="1"/>
        <v>15</v>
      </c>
      <c r="D25" s="113">
        <v>15</v>
      </c>
      <c r="E25" s="113">
        <v>0</v>
      </c>
      <c r="F25" s="113">
        <v>0</v>
      </c>
      <c r="G25" s="113">
        <f t="shared" si="2"/>
        <v>15</v>
      </c>
      <c r="H25" s="113">
        <v>15</v>
      </c>
      <c r="I25" s="113">
        <v>0</v>
      </c>
      <c r="J25" s="113">
        <v>0</v>
      </c>
      <c r="K25" s="127">
        <f t="shared" si="3"/>
        <v>1</v>
      </c>
      <c r="L25" s="127">
        <f t="shared" si="4"/>
        <v>1</v>
      </c>
      <c r="M25" s="127"/>
      <c r="N25" s="127"/>
    </row>
    <row r="26" spans="1:14" ht="19.5" customHeight="1">
      <c r="A26" s="126">
        <v>17</v>
      </c>
      <c r="B26" s="113" t="s">
        <v>328</v>
      </c>
      <c r="C26" s="113">
        <f t="shared" si="1"/>
        <v>23</v>
      </c>
      <c r="D26" s="113">
        <v>23</v>
      </c>
      <c r="E26" s="113">
        <v>0</v>
      </c>
      <c r="F26" s="113">
        <v>0</v>
      </c>
      <c r="G26" s="113">
        <f t="shared" si="2"/>
        <v>23</v>
      </c>
      <c r="H26" s="113">
        <v>23</v>
      </c>
      <c r="I26" s="113">
        <v>0</v>
      </c>
      <c r="J26" s="113">
        <v>0</v>
      </c>
      <c r="K26" s="127">
        <f t="shared" si="3"/>
        <v>1</v>
      </c>
      <c r="L26" s="127">
        <f t="shared" si="4"/>
        <v>1</v>
      </c>
      <c r="M26" s="127"/>
      <c r="N26" s="127"/>
    </row>
    <row r="27" spans="1:14" ht="19.5" customHeight="1">
      <c r="A27" s="126">
        <v>18</v>
      </c>
      <c r="B27" s="113" t="s">
        <v>329</v>
      </c>
      <c r="C27" s="113">
        <f t="shared" si="1"/>
        <v>55</v>
      </c>
      <c r="D27" s="113">
        <v>55</v>
      </c>
      <c r="E27" s="113">
        <v>0</v>
      </c>
      <c r="F27" s="113">
        <v>0</v>
      </c>
      <c r="G27" s="113">
        <f t="shared" si="2"/>
        <v>70</v>
      </c>
      <c r="H27" s="113">
        <v>70</v>
      </c>
      <c r="I27" s="113">
        <v>0</v>
      </c>
      <c r="J27" s="113">
        <v>0</v>
      </c>
      <c r="K27" s="127">
        <f t="shared" si="3"/>
        <v>1.2727272727272727</v>
      </c>
      <c r="L27" s="127">
        <f t="shared" si="4"/>
        <v>1.2727272727272727</v>
      </c>
      <c r="M27" s="127"/>
      <c r="N27" s="127"/>
    </row>
    <row r="28" spans="1:14" ht="19.5" customHeight="1" thickBot="1">
      <c r="A28" s="451">
        <v>19</v>
      </c>
      <c r="B28" s="439" t="s">
        <v>330</v>
      </c>
      <c r="C28" s="439">
        <f t="shared" si="1"/>
        <v>25</v>
      </c>
      <c r="D28" s="439">
        <v>25</v>
      </c>
      <c r="E28" s="439">
        <v>0</v>
      </c>
      <c r="F28" s="439">
        <v>0</v>
      </c>
      <c r="G28" s="439">
        <f t="shared" si="2"/>
        <v>25</v>
      </c>
      <c r="H28" s="439">
        <v>25</v>
      </c>
      <c r="I28" s="439">
        <v>0</v>
      </c>
      <c r="J28" s="439">
        <v>0</v>
      </c>
      <c r="K28" s="452">
        <f t="shared" si="3"/>
        <v>1</v>
      </c>
      <c r="L28" s="452">
        <f t="shared" si="4"/>
        <v>1</v>
      </c>
      <c r="M28" s="452"/>
      <c r="N28" s="452"/>
    </row>
    <row r="29" spans="1:14" ht="15.75" hidden="1">
      <c r="A29" s="448"/>
      <c r="B29" s="449"/>
      <c r="C29" s="448"/>
      <c r="D29" s="448"/>
      <c r="E29" s="448"/>
      <c r="F29" s="448"/>
      <c r="G29" s="448"/>
      <c r="H29" s="448"/>
      <c r="I29" s="448"/>
      <c r="J29" s="448"/>
      <c r="K29" s="448"/>
      <c r="L29" s="448"/>
      <c r="M29" s="448"/>
      <c r="N29" s="450"/>
    </row>
    <row r="30" spans="1:14" s="28" customFormat="1" ht="19.5" customHeight="1" hidden="1">
      <c r="A30" s="375" t="s">
        <v>379</v>
      </c>
      <c r="B30" s="375"/>
      <c r="C30" s="375"/>
      <c r="D30" s="375"/>
      <c r="E30" s="375"/>
      <c r="F30" s="375"/>
      <c r="G30" s="375"/>
      <c r="H30" s="375"/>
      <c r="I30" s="375"/>
      <c r="J30" s="375"/>
      <c r="K30" s="375"/>
      <c r="L30" s="375"/>
      <c r="M30" s="375"/>
      <c r="N30" s="375"/>
    </row>
    <row r="31" spans="1:14" s="28" customFormat="1" ht="19.5" customHeight="1" hidden="1">
      <c r="A31" s="376" t="s">
        <v>259</v>
      </c>
      <c r="B31" s="376"/>
      <c r="C31" s="376"/>
      <c r="D31" s="376"/>
      <c r="E31" s="376"/>
      <c r="F31" s="376"/>
      <c r="G31" s="376"/>
      <c r="H31" s="376"/>
      <c r="I31" s="376"/>
      <c r="J31" s="376"/>
      <c r="K31" s="376"/>
      <c r="L31" s="376"/>
      <c r="M31" s="376"/>
      <c r="N31" s="376"/>
    </row>
    <row r="32" s="28" customFormat="1" ht="15.75" hidden="1"/>
    <row r="33" ht="15" hidden="1"/>
    <row r="34" ht="15" hidden="1"/>
    <row r="35" ht="15.75" thickTop="1"/>
  </sheetData>
  <sheetProtection/>
  <mergeCells count="17">
    <mergeCell ref="G5:J5"/>
    <mergeCell ref="K5:N5"/>
    <mergeCell ref="C6:C7"/>
    <mergeCell ref="D6:F6"/>
    <mergeCell ref="G6:G7"/>
    <mergeCell ref="H6:J6"/>
    <mergeCell ref="K6:K7"/>
    <mergeCell ref="A30:N30"/>
    <mergeCell ref="A31:N31"/>
    <mergeCell ref="M4:N4"/>
    <mergeCell ref="E1:J1"/>
    <mergeCell ref="A2:N2"/>
    <mergeCell ref="A3:N3"/>
    <mergeCell ref="L6:N6"/>
    <mergeCell ref="A5:A7"/>
    <mergeCell ref="B5:B7"/>
    <mergeCell ref="C5:F5"/>
  </mergeCells>
  <printOptions/>
  <pageMargins left="0.55" right="0.1968503937007874" top="0.2755905511811024" bottom="0.35433070866141736" header="0.1968503937007874" footer="0.31496062992125984"/>
  <pageSetup fitToHeight="0" fitToWidth="1" horizontalDpi="600" verticalDpi="600" orientation="landscape" paperSize="9" scale="97" r:id="rId3"/>
  <legacyDrawing r:id="rId2"/>
</worksheet>
</file>

<file path=xl/worksheets/sheet6.xml><?xml version="1.0" encoding="utf-8"?>
<worksheet xmlns="http://schemas.openxmlformats.org/spreadsheetml/2006/main" xmlns:r="http://schemas.openxmlformats.org/officeDocument/2006/relationships">
  <sheetPr>
    <tabColor rgb="FFFFFF99"/>
    <pageSetUpPr fitToPage="1"/>
  </sheetPr>
  <dimension ref="A1:K41"/>
  <sheetViews>
    <sheetView view="pageBreakPreview" zoomScale="60" zoomScalePageLayoutView="0" workbookViewId="0" topLeftCell="A7">
      <selection activeCell="A28" sqref="A28:J28"/>
    </sheetView>
  </sheetViews>
  <sheetFormatPr defaultColWidth="8.796875" defaultRowHeight="15"/>
  <cols>
    <col min="1" max="1" width="5.09765625" style="130" customWidth="1"/>
    <col min="2" max="2" width="15" style="130" customWidth="1"/>
    <col min="3" max="3" width="10.19921875" style="130" customWidth="1"/>
    <col min="4" max="4" width="9.3984375" style="130" customWidth="1"/>
    <col min="5" max="5" width="7.59765625" style="130" customWidth="1"/>
    <col min="6" max="6" width="7" style="130" customWidth="1"/>
    <col min="7" max="7" width="7.5" style="130" customWidth="1"/>
    <col min="8" max="8" width="8.8984375" style="130" customWidth="1"/>
    <col min="9" max="9" width="7.19921875" style="130" customWidth="1"/>
    <col min="10" max="10" width="8.19921875" style="130" customWidth="1"/>
    <col min="11" max="16384" width="9" style="130" customWidth="1"/>
  </cols>
  <sheetData>
    <row r="1" spans="1:10" ht="21" customHeight="1">
      <c r="A1" s="128"/>
      <c r="B1" s="128"/>
      <c r="C1" s="129"/>
      <c r="D1" s="129"/>
      <c r="F1" s="131"/>
      <c r="G1" s="131"/>
      <c r="H1" s="131"/>
      <c r="I1" s="131"/>
      <c r="J1" s="132" t="s">
        <v>191</v>
      </c>
    </row>
    <row r="2" spans="1:10" ht="21" customHeight="1">
      <c r="A2" s="379" t="s">
        <v>61</v>
      </c>
      <c r="B2" s="379"/>
      <c r="C2" s="379"/>
      <c r="D2" s="379"/>
      <c r="E2" s="379"/>
      <c r="F2" s="379"/>
      <c r="G2" s="379"/>
      <c r="H2" s="379"/>
      <c r="I2" s="379"/>
      <c r="J2" s="379"/>
    </row>
    <row r="3" spans="1:10" ht="21" customHeight="1">
      <c r="A3" s="379" t="s">
        <v>312</v>
      </c>
      <c r="B3" s="379"/>
      <c r="C3" s="379"/>
      <c r="D3" s="379"/>
      <c r="E3" s="379"/>
      <c r="F3" s="379"/>
      <c r="G3" s="379"/>
      <c r="H3" s="379"/>
      <c r="I3" s="379"/>
      <c r="J3" s="379"/>
    </row>
    <row r="4" spans="1:10" ht="21" customHeight="1">
      <c r="A4" s="380" t="str">
        <f>PL15!A3</f>
        <v>(Kèm theo Nghị quyết số       /NQ-HĐND ngày       tháng 12 năm 2022 của HĐND huyện Tuần Giáo)</v>
      </c>
      <c r="B4" s="380"/>
      <c r="C4" s="380"/>
      <c r="D4" s="380"/>
      <c r="E4" s="380"/>
      <c r="F4" s="380"/>
      <c r="G4" s="380"/>
      <c r="H4" s="380"/>
      <c r="I4" s="380"/>
      <c r="J4" s="380"/>
    </row>
    <row r="5" spans="1:10" ht="24.75" customHeight="1">
      <c r="A5" s="133"/>
      <c r="B5" s="133"/>
      <c r="C5" s="134"/>
      <c r="D5" s="134"/>
      <c r="E5" s="381" t="s">
        <v>92</v>
      </c>
      <c r="F5" s="381"/>
      <c r="G5" s="381"/>
      <c r="H5" s="381"/>
      <c r="I5" s="381"/>
      <c r="J5" s="381"/>
    </row>
    <row r="6" spans="1:10" s="134" customFormat="1" ht="18.75" customHeight="1">
      <c r="A6" s="382" t="s">
        <v>62</v>
      </c>
      <c r="B6" s="382" t="s">
        <v>32</v>
      </c>
      <c r="C6" s="383" t="s">
        <v>56</v>
      </c>
      <c r="D6" s="383" t="s">
        <v>151</v>
      </c>
      <c r="E6" s="382" t="s">
        <v>49</v>
      </c>
      <c r="F6" s="382"/>
      <c r="G6" s="382"/>
      <c r="H6" s="382"/>
      <c r="I6" s="382"/>
      <c r="J6" s="382"/>
    </row>
    <row r="7" spans="1:10" s="134" customFormat="1" ht="73.5" customHeight="1">
      <c r="A7" s="382"/>
      <c r="B7" s="382"/>
      <c r="C7" s="383"/>
      <c r="D7" s="383"/>
      <c r="E7" s="96" t="s">
        <v>223</v>
      </c>
      <c r="F7" s="96" t="s">
        <v>224</v>
      </c>
      <c r="G7" s="96" t="s">
        <v>225</v>
      </c>
      <c r="H7" s="96" t="s">
        <v>226</v>
      </c>
      <c r="I7" s="96" t="s">
        <v>227</v>
      </c>
      <c r="J7" s="96" t="s">
        <v>228</v>
      </c>
    </row>
    <row r="8" spans="1:10" s="134" customFormat="1" ht="16.5" customHeight="1">
      <c r="A8" s="60" t="s">
        <v>10</v>
      </c>
      <c r="B8" s="60" t="s">
        <v>11</v>
      </c>
      <c r="C8" s="60">
        <v>1</v>
      </c>
      <c r="D8" s="60">
        <f>C8+1</f>
        <v>2</v>
      </c>
      <c r="E8" s="60">
        <v>3</v>
      </c>
      <c r="F8" s="60">
        <f>E8+1</f>
        <v>4</v>
      </c>
      <c r="G8" s="60">
        <f>F8+1</f>
        <v>5</v>
      </c>
      <c r="H8" s="60">
        <f>G8+1</f>
        <v>6</v>
      </c>
      <c r="I8" s="60">
        <f>H8+1</f>
        <v>7</v>
      </c>
      <c r="J8" s="60">
        <f>I8+1</f>
        <v>8</v>
      </c>
    </row>
    <row r="9" spans="1:10" s="134" customFormat="1" ht="27" customHeight="1">
      <c r="A9" s="135"/>
      <c r="B9" s="136" t="s">
        <v>31</v>
      </c>
      <c r="C9" s="137">
        <f>SUM(C10:C28)</f>
        <v>3980</v>
      </c>
      <c r="D9" s="137">
        <f aca="true" t="shared" si="0" ref="D9:J9">SUM(D10:D28)</f>
        <v>3980</v>
      </c>
      <c r="E9" s="137">
        <f t="shared" si="0"/>
        <v>340</v>
      </c>
      <c r="F9" s="137">
        <f t="shared" si="0"/>
        <v>80</v>
      </c>
      <c r="G9" s="137">
        <f t="shared" si="0"/>
        <v>612</v>
      </c>
      <c r="H9" s="137">
        <f t="shared" si="0"/>
        <v>2700</v>
      </c>
      <c r="I9" s="137">
        <f t="shared" si="0"/>
        <v>148</v>
      </c>
      <c r="J9" s="137">
        <f t="shared" si="0"/>
        <v>100</v>
      </c>
    </row>
    <row r="10" spans="1:11" s="134" customFormat="1" ht="22.5" customHeight="1">
      <c r="A10" s="138">
        <v>1</v>
      </c>
      <c r="B10" s="139" t="s">
        <v>313</v>
      </c>
      <c r="C10" s="140">
        <f>D10</f>
        <v>105</v>
      </c>
      <c r="D10" s="140">
        <f>SUM(E10:J10)</f>
        <v>105</v>
      </c>
      <c r="E10" s="140">
        <v>35</v>
      </c>
      <c r="F10" s="140"/>
      <c r="G10" s="140">
        <f>30+20</f>
        <v>50</v>
      </c>
      <c r="H10" s="140"/>
      <c r="I10" s="140">
        <v>10</v>
      </c>
      <c r="J10" s="140">
        <v>10</v>
      </c>
      <c r="K10" s="141"/>
    </row>
    <row r="11" spans="1:11" s="134" customFormat="1" ht="22.5" customHeight="1">
      <c r="A11" s="138">
        <v>2</v>
      </c>
      <c r="B11" s="139" t="s">
        <v>314</v>
      </c>
      <c r="C11" s="140">
        <f aca="true" t="shared" si="1" ref="C11:C28">D11</f>
        <v>28</v>
      </c>
      <c r="D11" s="140">
        <f aca="true" t="shared" si="2" ref="D11:D28">SUM(E11:J11)</f>
        <v>28</v>
      </c>
      <c r="E11" s="140"/>
      <c r="F11" s="140"/>
      <c r="G11" s="140">
        <v>20</v>
      </c>
      <c r="H11" s="140"/>
      <c r="I11" s="140">
        <v>3</v>
      </c>
      <c r="J11" s="140">
        <v>5</v>
      </c>
      <c r="K11" s="141"/>
    </row>
    <row r="12" spans="1:11" s="134" customFormat="1" ht="22.5" customHeight="1">
      <c r="A12" s="138">
        <v>3</v>
      </c>
      <c r="B12" s="139" t="s">
        <v>315</v>
      </c>
      <c r="C12" s="140">
        <f t="shared" si="1"/>
        <v>45</v>
      </c>
      <c r="D12" s="140">
        <f t="shared" si="2"/>
        <v>45</v>
      </c>
      <c r="E12" s="140">
        <v>10</v>
      </c>
      <c r="F12" s="140"/>
      <c r="G12" s="140">
        <f>20+5</f>
        <v>25</v>
      </c>
      <c r="H12" s="140"/>
      <c r="I12" s="140">
        <v>5</v>
      </c>
      <c r="J12" s="140">
        <v>5</v>
      </c>
      <c r="K12" s="141"/>
    </row>
    <row r="13" spans="1:11" s="134" customFormat="1" ht="22.5" customHeight="1">
      <c r="A13" s="138">
        <v>4</v>
      </c>
      <c r="B13" s="139" t="s">
        <v>316</v>
      </c>
      <c r="C13" s="140">
        <f t="shared" si="1"/>
        <v>95</v>
      </c>
      <c r="D13" s="140">
        <f t="shared" si="2"/>
        <v>95</v>
      </c>
      <c r="E13" s="140">
        <v>20</v>
      </c>
      <c r="F13" s="140"/>
      <c r="G13" s="140">
        <f>40+10</f>
        <v>50</v>
      </c>
      <c r="H13" s="140"/>
      <c r="I13" s="140">
        <v>5</v>
      </c>
      <c r="J13" s="140">
        <v>20</v>
      </c>
      <c r="K13" s="141"/>
    </row>
    <row r="14" spans="1:11" s="134" customFormat="1" ht="22.5" customHeight="1">
      <c r="A14" s="138">
        <v>5</v>
      </c>
      <c r="B14" s="139" t="s">
        <v>317</v>
      </c>
      <c r="C14" s="140">
        <f t="shared" si="1"/>
        <v>50</v>
      </c>
      <c r="D14" s="140">
        <f t="shared" si="2"/>
        <v>50</v>
      </c>
      <c r="E14" s="140">
        <v>5</v>
      </c>
      <c r="F14" s="140"/>
      <c r="G14" s="140">
        <f>25+10</f>
        <v>35</v>
      </c>
      <c r="H14" s="140"/>
      <c r="I14" s="140">
        <v>10</v>
      </c>
      <c r="J14" s="140"/>
      <c r="K14" s="141"/>
    </row>
    <row r="15" spans="1:11" s="134" customFormat="1" ht="22.5" customHeight="1">
      <c r="A15" s="138">
        <v>6</v>
      </c>
      <c r="B15" s="139" t="s">
        <v>222</v>
      </c>
      <c r="C15" s="140">
        <f t="shared" si="1"/>
        <v>3245</v>
      </c>
      <c r="D15" s="140">
        <f t="shared" si="2"/>
        <v>3245</v>
      </c>
      <c r="E15" s="140">
        <v>225</v>
      </c>
      <c r="F15" s="140">
        <v>80</v>
      </c>
      <c r="G15" s="140">
        <f>100+80</f>
        <v>180</v>
      </c>
      <c r="H15" s="140">
        <v>2700</v>
      </c>
      <c r="I15" s="140">
        <v>50</v>
      </c>
      <c r="J15" s="140">
        <v>10</v>
      </c>
      <c r="K15" s="141"/>
    </row>
    <row r="16" spans="1:11" s="134" customFormat="1" ht="22.5" customHeight="1">
      <c r="A16" s="138">
        <v>7</v>
      </c>
      <c r="B16" s="139" t="s">
        <v>318</v>
      </c>
      <c r="C16" s="140">
        <f t="shared" si="1"/>
        <v>90</v>
      </c>
      <c r="D16" s="140">
        <f t="shared" si="2"/>
        <v>90</v>
      </c>
      <c r="E16" s="140">
        <v>25</v>
      </c>
      <c r="F16" s="140"/>
      <c r="G16" s="140">
        <f>25+5</f>
        <v>30</v>
      </c>
      <c r="H16" s="140"/>
      <c r="I16" s="140">
        <v>10</v>
      </c>
      <c r="J16" s="140">
        <v>25</v>
      </c>
      <c r="K16" s="141"/>
    </row>
    <row r="17" spans="1:11" s="134" customFormat="1" ht="22.5" customHeight="1">
      <c r="A17" s="138">
        <v>8</v>
      </c>
      <c r="B17" s="139" t="s">
        <v>319</v>
      </c>
      <c r="C17" s="140">
        <f t="shared" si="1"/>
        <v>30</v>
      </c>
      <c r="D17" s="140">
        <f t="shared" si="2"/>
        <v>30</v>
      </c>
      <c r="E17" s="140"/>
      <c r="F17" s="140"/>
      <c r="G17" s="140">
        <v>25</v>
      </c>
      <c r="H17" s="140"/>
      <c r="I17" s="140">
        <v>5</v>
      </c>
      <c r="J17" s="140"/>
      <c r="K17" s="141"/>
    </row>
    <row r="18" spans="1:11" s="134" customFormat="1" ht="22.5" customHeight="1">
      <c r="A18" s="138">
        <v>9</v>
      </c>
      <c r="B18" s="139" t="s">
        <v>320</v>
      </c>
      <c r="C18" s="140">
        <f t="shared" si="1"/>
        <v>40</v>
      </c>
      <c r="D18" s="140">
        <f t="shared" si="2"/>
        <v>40</v>
      </c>
      <c r="E18" s="140">
        <v>10</v>
      </c>
      <c r="F18" s="140"/>
      <c r="G18" s="140">
        <f>18+5</f>
        <v>23</v>
      </c>
      <c r="H18" s="140"/>
      <c r="I18" s="140">
        <v>7</v>
      </c>
      <c r="J18" s="140"/>
      <c r="K18" s="141"/>
    </row>
    <row r="19" spans="1:11" s="134" customFormat="1" ht="22.5" customHeight="1">
      <c r="A19" s="138">
        <v>10</v>
      </c>
      <c r="B19" s="139" t="s">
        <v>321</v>
      </c>
      <c r="C19" s="140">
        <f t="shared" si="1"/>
        <v>20</v>
      </c>
      <c r="D19" s="140">
        <f t="shared" si="2"/>
        <v>20</v>
      </c>
      <c r="E19" s="140"/>
      <c r="F19" s="140"/>
      <c r="G19" s="140">
        <v>16</v>
      </c>
      <c r="H19" s="140"/>
      <c r="I19" s="140">
        <v>4</v>
      </c>
      <c r="J19" s="140"/>
      <c r="K19" s="141"/>
    </row>
    <row r="20" spans="1:11" s="134" customFormat="1" ht="22.5" customHeight="1">
      <c r="A20" s="138">
        <v>11</v>
      </c>
      <c r="B20" s="139" t="s">
        <v>322</v>
      </c>
      <c r="C20" s="140">
        <f t="shared" si="1"/>
        <v>30</v>
      </c>
      <c r="D20" s="140">
        <f t="shared" si="2"/>
        <v>30</v>
      </c>
      <c r="E20" s="140"/>
      <c r="F20" s="140"/>
      <c r="G20" s="140">
        <v>28</v>
      </c>
      <c r="H20" s="140"/>
      <c r="I20" s="140">
        <v>2</v>
      </c>
      <c r="J20" s="140"/>
      <c r="K20" s="141"/>
    </row>
    <row r="21" spans="1:11" s="134" customFormat="1" ht="22.5" customHeight="1">
      <c r="A21" s="138">
        <v>12</v>
      </c>
      <c r="B21" s="139" t="s">
        <v>323</v>
      </c>
      <c r="C21" s="140">
        <f t="shared" si="1"/>
        <v>17</v>
      </c>
      <c r="D21" s="140">
        <f t="shared" si="2"/>
        <v>17</v>
      </c>
      <c r="E21" s="140"/>
      <c r="F21" s="140"/>
      <c r="G21" s="140">
        <v>10</v>
      </c>
      <c r="H21" s="140"/>
      <c r="I21" s="140">
        <v>2</v>
      </c>
      <c r="J21" s="140">
        <v>5</v>
      </c>
      <c r="K21" s="141"/>
    </row>
    <row r="22" spans="1:11" s="134" customFormat="1" ht="22.5" customHeight="1">
      <c r="A22" s="138">
        <v>13</v>
      </c>
      <c r="B22" s="139" t="s">
        <v>324</v>
      </c>
      <c r="C22" s="140">
        <f t="shared" si="1"/>
        <v>17</v>
      </c>
      <c r="D22" s="140">
        <f t="shared" si="2"/>
        <v>17</v>
      </c>
      <c r="E22" s="140"/>
      <c r="F22" s="140"/>
      <c r="G22" s="140">
        <v>15</v>
      </c>
      <c r="H22" s="140"/>
      <c r="I22" s="140">
        <v>2</v>
      </c>
      <c r="J22" s="140"/>
      <c r="K22" s="141"/>
    </row>
    <row r="23" spans="1:11" s="134" customFormat="1" ht="22.5" customHeight="1">
      <c r="A23" s="138">
        <v>14</v>
      </c>
      <c r="B23" s="139" t="s">
        <v>325</v>
      </c>
      <c r="C23" s="140">
        <f t="shared" si="1"/>
        <v>20</v>
      </c>
      <c r="D23" s="140">
        <f t="shared" si="2"/>
        <v>20</v>
      </c>
      <c r="E23" s="140"/>
      <c r="F23" s="140"/>
      <c r="G23" s="140">
        <v>15</v>
      </c>
      <c r="H23" s="140"/>
      <c r="I23" s="140">
        <v>5</v>
      </c>
      <c r="J23" s="140"/>
      <c r="K23" s="141"/>
    </row>
    <row r="24" spans="1:11" s="134" customFormat="1" ht="22.5" customHeight="1">
      <c r="A24" s="138">
        <v>15</v>
      </c>
      <c r="B24" s="139" t="s">
        <v>326</v>
      </c>
      <c r="C24" s="140">
        <f t="shared" si="1"/>
        <v>15</v>
      </c>
      <c r="D24" s="140">
        <f t="shared" si="2"/>
        <v>15</v>
      </c>
      <c r="E24" s="140"/>
      <c r="F24" s="140"/>
      <c r="G24" s="140">
        <v>10</v>
      </c>
      <c r="H24" s="140"/>
      <c r="I24" s="140">
        <v>5</v>
      </c>
      <c r="J24" s="140"/>
      <c r="K24" s="141"/>
    </row>
    <row r="25" spans="1:11" s="134" customFormat="1" ht="22.5" customHeight="1">
      <c r="A25" s="138">
        <v>16</v>
      </c>
      <c r="B25" s="139" t="s">
        <v>327</v>
      </c>
      <c r="C25" s="140">
        <f t="shared" si="1"/>
        <v>15</v>
      </c>
      <c r="D25" s="140">
        <f t="shared" si="2"/>
        <v>15</v>
      </c>
      <c r="E25" s="140"/>
      <c r="F25" s="140"/>
      <c r="G25" s="140">
        <v>10</v>
      </c>
      <c r="H25" s="140"/>
      <c r="I25" s="140">
        <v>5</v>
      </c>
      <c r="J25" s="140"/>
      <c r="K25" s="141"/>
    </row>
    <row r="26" spans="1:11" s="134" customFormat="1" ht="22.5" customHeight="1">
      <c r="A26" s="138">
        <v>17</v>
      </c>
      <c r="B26" s="139" t="s">
        <v>328</v>
      </c>
      <c r="C26" s="140">
        <f t="shared" si="1"/>
        <v>23</v>
      </c>
      <c r="D26" s="140">
        <f t="shared" si="2"/>
        <v>23</v>
      </c>
      <c r="E26" s="140"/>
      <c r="F26" s="140"/>
      <c r="G26" s="140">
        <v>15</v>
      </c>
      <c r="H26" s="140"/>
      <c r="I26" s="140">
        <v>8</v>
      </c>
      <c r="J26" s="140"/>
      <c r="K26" s="141"/>
    </row>
    <row r="27" spans="1:11" s="134" customFormat="1" ht="22.5" customHeight="1">
      <c r="A27" s="138">
        <v>18</v>
      </c>
      <c r="B27" s="139" t="s">
        <v>329</v>
      </c>
      <c r="C27" s="140">
        <f t="shared" si="1"/>
        <v>70</v>
      </c>
      <c r="D27" s="140">
        <f t="shared" si="2"/>
        <v>70</v>
      </c>
      <c r="E27" s="140">
        <v>10</v>
      </c>
      <c r="F27" s="140"/>
      <c r="G27" s="140">
        <f>30+5</f>
        <v>35</v>
      </c>
      <c r="H27" s="140"/>
      <c r="I27" s="140">
        <v>5</v>
      </c>
      <c r="J27" s="140">
        <v>20</v>
      </c>
      <c r="K27" s="141"/>
    </row>
    <row r="28" spans="1:11" s="134" customFormat="1" ht="22.5" customHeight="1" thickBot="1">
      <c r="A28" s="453">
        <v>19</v>
      </c>
      <c r="B28" s="454" t="s">
        <v>330</v>
      </c>
      <c r="C28" s="455">
        <f t="shared" si="1"/>
        <v>25</v>
      </c>
      <c r="D28" s="455">
        <f t="shared" si="2"/>
        <v>25</v>
      </c>
      <c r="E28" s="455"/>
      <c r="F28" s="455"/>
      <c r="G28" s="455">
        <v>20</v>
      </c>
      <c r="H28" s="455"/>
      <c r="I28" s="455">
        <v>5</v>
      </c>
      <c r="J28" s="455"/>
      <c r="K28" s="141"/>
    </row>
    <row r="29" spans="1:10" ht="19.5" thickTop="1">
      <c r="A29" s="134"/>
      <c r="B29" s="134"/>
      <c r="C29" s="134"/>
      <c r="D29" s="134"/>
      <c r="E29" s="134"/>
      <c r="F29" s="134"/>
      <c r="G29" s="134"/>
      <c r="H29" s="134"/>
      <c r="I29" s="134"/>
      <c r="J29" s="134"/>
    </row>
    <row r="30" spans="1:10" ht="18.75">
      <c r="A30" s="134"/>
      <c r="B30" s="134"/>
      <c r="C30" s="134"/>
      <c r="D30" s="134"/>
      <c r="E30" s="134"/>
      <c r="F30" s="134"/>
      <c r="G30" s="134"/>
      <c r="H30" s="134"/>
      <c r="I30" s="134"/>
      <c r="J30" s="134"/>
    </row>
    <row r="31" spans="1:10" ht="18.75">
      <c r="A31" s="134"/>
      <c r="B31" s="134"/>
      <c r="C31" s="134"/>
      <c r="D31" s="134"/>
      <c r="E31" s="134"/>
      <c r="F31" s="134"/>
      <c r="G31" s="134"/>
      <c r="H31" s="134"/>
      <c r="I31" s="134"/>
      <c r="J31" s="134"/>
    </row>
    <row r="32" spans="1:10" ht="18.75">
      <c r="A32" s="134"/>
      <c r="B32" s="134"/>
      <c r="C32" s="134"/>
      <c r="D32" s="134"/>
      <c r="E32" s="134"/>
      <c r="F32" s="134"/>
      <c r="G32" s="134"/>
      <c r="H32" s="134"/>
      <c r="I32" s="134"/>
      <c r="J32" s="134"/>
    </row>
    <row r="33" spans="1:10" ht="18.75">
      <c r="A33" s="134"/>
      <c r="B33" s="134"/>
      <c r="C33" s="134"/>
      <c r="D33" s="134"/>
      <c r="E33" s="134"/>
      <c r="F33" s="134"/>
      <c r="G33" s="134"/>
      <c r="H33" s="134"/>
      <c r="I33" s="134"/>
      <c r="J33" s="134"/>
    </row>
    <row r="34" spans="1:10" ht="18.75">
      <c r="A34" s="134"/>
      <c r="B34" s="134"/>
      <c r="C34" s="134"/>
      <c r="D34" s="134"/>
      <c r="E34" s="134"/>
      <c r="F34" s="134"/>
      <c r="G34" s="134"/>
      <c r="H34" s="134"/>
      <c r="I34" s="134"/>
      <c r="J34" s="134"/>
    </row>
    <row r="35" spans="1:10" ht="18.75">
      <c r="A35" s="134"/>
      <c r="B35" s="134"/>
      <c r="C35" s="134"/>
      <c r="D35" s="134"/>
      <c r="E35" s="134"/>
      <c r="F35" s="134"/>
      <c r="G35" s="134"/>
      <c r="H35" s="134"/>
      <c r="I35" s="134"/>
      <c r="J35" s="134"/>
    </row>
    <row r="36" spans="1:10" ht="18.75">
      <c r="A36" s="134"/>
      <c r="B36" s="134"/>
      <c r="C36" s="134"/>
      <c r="D36" s="134"/>
      <c r="E36" s="134"/>
      <c r="F36" s="134"/>
      <c r="G36" s="134"/>
      <c r="H36" s="134"/>
      <c r="I36" s="134"/>
      <c r="J36" s="134"/>
    </row>
    <row r="37" spans="1:10" ht="22.5" customHeight="1">
      <c r="A37" s="134"/>
      <c r="B37" s="134"/>
      <c r="C37" s="134"/>
      <c r="D37" s="134"/>
      <c r="E37" s="134"/>
      <c r="F37" s="134"/>
      <c r="G37" s="134"/>
      <c r="H37" s="134"/>
      <c r="I37" s="134"/>
      <c r="J37" s="134"/>
    </row>
    <row r="38" spans="1:10" ht="18.75">
      <c r="A38" s="134"/>
      <c r="B38" s="134"/>
      <c r="C38" s="134"/>
      <c r="D38" s="134"/>
      <c r="E38" s="134"/>
      <c r="F38" s="134"/>
      <c r="G38" s="134"/>
      <c r="H38" s="134"/>
      <c r="I38" s="134"/>
      <c r="J38" s="134"/>
    </row>
    <row r="39" spans="1:10" ht="18.75">
      <c r="A39" s="134"/>
      <c r="B39" s="134"/>
      <c r="C39" s="134"/>
      <c r="D39" s="134"/>
      <c r="E39" s="134"/>
      <c r="F39" s="134"/>
      <c r="G39" s="134"/>
      <c r="H39" s="134"/>
      <c r="I39" s="134"/>
      <c r="J39" s="134"/>
    </row>
    <row r="40" spans="1:10" ht="18.75">
      <c r="A40" s="134"/>
      <c r="B40" s="134"/>
      <c r="C40" s="134"/>
      <c r="D40" s="134"/>
      <c r="E40" s="134"/>
      <c r="F40" s="134"/>
      <c r="G40" s="134"/>
      <c r="H40" s="134"/>
      <c r="I40" s="134"/>
      <c r="J40" s="134"/>
    </row>
    <row r="41" spans="1:10" ht="18.75">
      <c r="A41" s="134"/>
      <c r="B41" s="134"/>
      <c r="C41" s="134"/>
      <c r="D41" s="134"/>
      <c r="E41" s="134"/>
      <c r="F41" s="134"/>
      <c r="G41" s="134"/>
      <c r="H41" s="134"/>
      <c r="I41" s="134"/>
      <c r="J41" s="134"/>
    </row>
  </sheetData>
  <sheetProtection/>
  <mergeCells count="9">
    <mergeCell ref="A2:J2"/>
    <mergeCell ref="A3:J3"/>
    <mergeCell ref="A4:J4"/>
    <mergeCell ref="E5:J5"/>
    <mergeCell ref="A6:A7"/>
    <mergeCell ref="B6:B7"/>
    <mergeCell ref="C6:C7"/>
    <mergeCell ref="D6:D7"/>
    <mergeCell ref="E6:J6"/>
  </mergeCells>
  <printOptions/>
  <pageMargins left="0.7" right="0.23"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99"/>
    <pageSetUpPr fitToPage="1"/>
  </sheetPr>
  <dimension ref="A1:F53"/>
  <sheetViews>
    <sheetView view="pageBreakPreview" zoomScale="60" zoomScalePageLayoutView="0" workbookViewId="0" topLeftCell="A10">
      <selection activeCell="A53" sqref="A53:E53"/>
    </sheetView>
  </sheetViews>
  <sheetFormatPr defaultColWidth="8.796875" defaultRowHeight="15"/>
  <cols>
    <col min="1" max="1" width="5.5" style="281" customWidth="1"/>
    <col min="2" max="2" width="53.19921875" style="281" customWidth="1"/>
    <col min="3" max="3" width="9.5" style="281" customWidth="1"/>
    <col min="4" max="4" width="11.3984375" style="281" customWidth="1"/>
    <col min="5" max="5" width="9.3984375" style="281" customWidth="1"/>
    <col min="6" max="16384" width="9" style="281" customWidth="1"/>
  </cols>
  <sheetData>
    <row r="1" spans="1:5" ht="18" customHeight="1">
      <c r="A1" s="261"/>
      <c r="B1" s="261"/>
      <c r="C1" s="386" t="s">
        <v>190</v>
      </c>
      <c r="D1" s="386"/>
      <c r="E1" s="386"/>
    </row>
    <row r="2" spans="1:5" s="315" customFormat="1" ht="18" customHeight="1">
      <c r="A2" s="313" t="s">
        <v>152</v>
      </c>
      <c r="B2" s="313"/>
      <c r="C2" s="314"/>
      <c r="D2" s="314"/>
      <c r="E2" s="314"/>
    </row>
    <row r="3" spans="1:5" s="315" customFormat="1" ht="18" customHeight="1">
      <c r="A3" s="387" t="s">
        <v>342</v>
      </c>
      <c r="B3" s="387"/>
      <c r="C3" s="387"/>
      <c r="D3" s="387"/>
      <c r="E3" s="387"/>
    </row>
    <row r="4" spans="1:5" ht="18" customHeight="1">
      <c r="A4" s="370" t="str">
        <f>PL15!A3</f>
        <v>(Kèm theo Nghị quyết số       /NQ-HĐND ngày       tháng 12 năm 2022 của HĐND huyện Tuần Giáo)</v>
      </c>
      <c r="B4" s="370"/>
      <c r="C4" s="370"/>
      <c r="D4" s="370"/>
      <c r="E4" s="370"/>
    </row>
    <row r="5" spans="1:5" ht="19.5" customHeight="1">
      <c r="A5" s="266"/>
      <c r="B5" s="266"/>
      <c r="C5" s="267"/>
      <c r="D5" s="388" t="s">
        <v>92</v>
      </c>
      <c r="E5" s="388"/>
    </row>
    <row r="6" spans="1:6" s="315" customFormat="1" ht="18" customHeight="1">
      <c r="A6" s="384" t="s">
        <v>62</v>
      </c>
      <c r="B6" s="384" t="s">
        <v>6</v>
      </c>
      <c r="C6" s="384" t="s">
        <v>248</v>
      </c>
      <c r="D6" s="389" t="s">
        <v>49</v>
      </c>
      <c r="E6" s="389"/>
      <c r="F6" s="281"/>
    </row>
    <row r="7" spans="1:6" s="315" customFormat="1" ht="35.25" customHeight="1">
      <c r="A7" s="385"/>
      <c r="B7" s="385"/>
      <c r="C7" s="385"/>
      <c r="D7" s="316" t="s">
        <v>155</v>
      </c>
      <c r="E7" s="316" t="s">
        <v>156</v>
      </c>
      <c r="F7" s="281"/>
    </row>
    <row r="8" spans="1:5" s="301" customFormat="1" ht="14.25" customHeight="1">
      <c r="A8" s="268" t="s">
        <v>10</v>
      </c>
      <c r="B8" s="268" t="s">
        <v>11</v>
      </c>
      <c r="C8" s="268" t="s">
        <v>50</v>
      </c>
      <c r="D8" s="268">
        <v>2</v>
      </c>
      <c r="E8" s="268">
        <f>D8+1</f>
        <v>3</v>
      </c>
    </row>
    <row r="9" spans="1:5" s="317" customFormat="1" ht="18.75" customHeight="1">
      <c r="A9" s="283"/>
      <c r="B9" s="284" t="s">
        <v>128</v>
      </c>
      <c r="C9" s="285">
        <f>C10+C39+C53</f>
        <v>948814</v>
      </c>
      <c r="D9" s="285">
        <f>D10+D39+D53</f>
        <v>801093</v>
      </c>
      <c r="E9" s="285">
        <f>E10+E39+E53</f>
        <v>147721</v>
      </c>
    </row>
    <row r="10" spans="1:5" s="317" customFormat="1" ht="18.75" customHeight="1">
      <c r="A10" s="283" t="s">
        <v>10</v>
      </c>
      <c r="B10" s="284" t="s">
        <v>108</v>
      </c>
      <c r="C10" s="285">
        <f>C11+C22+C37+C38</f>
        <v>734706</v>
      </c>
      <c r="D10" s="285">
        <f>D11+D22+D37+D38</f>
        <v>641835</v>
      </c>
      <c r="E10" s="285">
        <f>E11+E22+E37+E38</f>
        <v>92871</v>
      </c>
    </row>
    <row r="11" spans="1:5" s="317" customFormat="1" ht="18.75" customHeight="1">
      <c r="A11" s="283" t="s">
        <v>21</v>
      </c>
      <c r="B11" s="284" t="s">
        <v>45</v>
      </c>
      <c r="C11" s="318">
        <f>D11+E11</f>
        <v>36868</v>
      </c>
      <c r="D11" s="318">
        <f>D12+D21</f>
        <v>34168</v>
      </c>
      <c r="E11" s="318">
        <f>E12+E21</f>
        <v>2700</v>
      </c>
    </row>
    <row r="12" spans="1:5" s="319" customFormat="1" ht="18.75" customHeight="1">
      <c r="A12" s="288">
        <v>1</v>
      </c>
      <c r="B12" s="289" t="s">
        <v>76</v>
      </c>
      <c r="C12" s="290">
        <f>C13</f>
        <v>36868</v>
      </c>
      <c r="D12" s="290">
        <f>D13</f>
        <v>34168</v>
      </c>
      <c r="E12" s="290">
        <f>E13</f>
        <v>2700</v>
      </c>
    </row>
    <row r="13" spans="1:5" s="317" customFormat="1" ht="18.75" customHeight="1">
      <c r="A13" s="288"/>
      <c r="B13" s="289" t="s">
        <v>143</v>
      </c>
      <c r="C13" s="290">
        <f>SUM(C14:C17)</f>
        <v>36868</v>
      </c>
      <c r="D13" s="290">
        <f>SUM(D14:D17)</f>
        <v>34168</v>
      </c>
      <c r="E13" s="290">
        <f>SUM(E14:E17)</f>
        <v>2700</v>
      </c>
    </row>
    <row r="14" spans="1:5" s="319" customFormat="1" ht="18.75" customHeight="1">
      <c r="A14" s="292" t="s">
        <v>18</v>
      </c>
      <c r="B14" s="320" t="s">
        <v>344</v>
      </c>
      <c r="C14" s="321">
        <f>D14+E14</f>
        <v>6000</v>
      </c>
      <c r="D14" s="321">
        <v>6000</v>
      </c>
      <c r="E14" s="321"/>
    </row>
    <row r="15" spans="1:5" s="319" customFormat="1" ht="21" customHeight="1" hidden="1">
      <c r="A15" s="292" t="s">
        <v>18</v>
      </c>
      <c r="B15" s="320" t="s">
        <v>89</v>
      </c>
      <c r="C15" s="321">
        <f>D15+E15</f>
        <v>0</v>
      </c>
      <c r="D15" s="321"/>
      <c r="E15" s="321"/>
    </row>
    <row r="16" spans="1:5" s="319" customFormat="1" ht="18" customHeight="1">
      <c r="A16" s="292" t="s">
        <v>18</v>
      </c>
      <c r="B16" s="320" t="s">
        <v>117</v>
      </c>
      <c r="C16" s="321">
        <f>D16+E16</f>
        <v>30868</v>
      </c>
      <c r="D16" s="321">
        <f>+D18-D14</f>
        <v>28168</v>
      </c>
      <c r="E16" s="321">
        <f>E18</f>
        <v>2700</v>
      </c>
    </row>
    <row r="17" spans="1:5" s="319" customFormat="1" ht="21" customHeight="1" hidden="1">
      <c r="A17" s="288" t="s">
        <v>18</v>
      </c>
      <c r="B17" s="320" t="s">
        <v>345</v>
      </c>
      <c r="C17" s="321">
        <f>D17+E17</f>
        <v>0</v>
      </c>
      <c r="D17" s="321"/>
      <c r="E17" s="321"/>
    </row>
    <row r="18" spans="1:5" s="317" customFormat="1" ht="18.75" customHeight="1">
      <c r="A18" s="288"/>
      <c r="B18" s="289" t="s">
        <v>144</v>
      </c>
      <c r="C18" s="290">
        <f>C19+C20</f>
        <v>36868</v>
      </c>
      <c r="D18" s="290">
        <f>D19+D20</f>
        <v>34168</v>
      </c>
      <c r="E18" s="290">
        <f>E19+E20</f>
        <v>2700</v>
      </c>
    </row>
    <row r="19" spans="1:5" s="319" customFormat="1" ht="18.75" customHeight="1">
      <c r="A19" s="292" t="s">
        <v>18</v>
      </c>
      <c r="B19" s="320" t="s">
        <v>346</v>
      </c>
      <c r="C19" s="321">
        <f>D19+E19</f>
        <v>23368</v>
      </c>
      <c r="D19" s="321">
        <v>23368</v>
      </c>
      <c r="E19" s="321"/>
    </row>
    <row r="20" spans="1:5" s="319" customFormat="1" ht="18.75" customHeight="1">
      <c r="A20" s="292" t="s">
        <v>18</v>
      </c>
      <c r="B20" s="320" t="s">
        <v>347</v>
      </c>
      <c r="C20" s="321">
        <f>D20+E20</f>
        <v>13500</v>
      </c>
      <c r="D20" s="321">
        <v>10800</v>
      </c>
      <c r="E20" s="321">
        <v>2700</v>
      </c>
    </row>
    <row r="21" spans="1:5" s="317" customFormat="1" ht="21" customHeight="1" hidden="1">
      <c r="A21" s="288">
        <v>2</v>
      </c>
      <c r="B21" s="289" t="s">
        <v>142</v>
      </c>
      <c r="C21" s="321"/>
      <c r="D21" s="290"/>
      <c r="E21" s="290"/>
    </row>
    <row r="22" spans="1:6" s="317" customFormat="1" ht="19.5" customHeight="1">
      <c r="A22" s="283" t="s">
        <v>22</v>
      </c>
      <c r="B22" s="284" t="s">
        <v>27</v>
      </c>
      <c r="C22" s="285">
        <f>SUM(C23:C36)</f>
        <v>683144</v>
      </c>
      <c r="D22" s="285">
        <f>SUM(D23:D36)</f>
        <v>594832</v>
      </c>
      <c r="E22" s="285">
        <f>SUM(E23:E36)</f>
        <v>88312</v>
      </c>
      <c r="F22" s="322"/>
    </row>
    <row r="23" spans="1:5" s="317" customFormat="1" ht="19.5" customHeight="1">
      <c r="A23" s="288">
        <v>1</v>
      </c>
      <c r="B23" s="289" t="s">
        <v>246</v>
      </c>
      <c r="C23" s="290">
        <f>D23+E23</f>
        <v>425458</v>
      </c>
      <c r="D23" s="290">
        <v>424458</v>
      </c>
      <c r="E23" s="290">
        <v>1000</v>
      </c>
    </row>
    <row r="24" spans="1:5" ht="19.5" customHeight="1">
      <c r="A24" s="288">
        <v>2</v>
      </c>
      <c r="B24" s="289" t="s">
        <v>36</v>
      </c>
      <c r="C24" s="290">
        <f>D24+E24</f>
        <v>600</v>
      </c>
      <c r="D24" s="290">
        <v>600</v>
      </c>
      <c r="E24" s="290"/>
    </row>
    <row r="25" spans="1:5" s="317" customFormat="1" ht="19.5" customHeight="1">
      <c r="A25" s="288">
        <v>3</v>
      </c>
      <c r="B25" s="289" t="s">
        <v>37</v>
      </c>
      <c r="C25" s="290">
        <f>D25+E25</f>
        <v>9082</v>
      </c>
      <c r="D25" s="290">
        <v>4854</v>
      </c>
      <c r="E25" s="290">
        <v>4228</v>
      </c>
    </row>
    <row r="26" spans="1:5" s="317" customFormat="1" ht="19.5" customHeight="1">
      <c r="A26" s="288">
        <v>4</v>
      </c>
      <c r="B26" s="289" t="s">
        <v>38</v>
      </c>
      <c r="C26" s="290">
        <f aca="true" t="shared" si="0" ref="C26:C38">D26+E26</f>
        <v>3299</v>
      </c>
      <c r="D26" s="290">
        <v>1432</v>
      </c>
      <c r="E26" s="290">
        <v>1867</v>
      </c>
    </row>
    <row r="27" spans="1:5" s="317" customFormat="1" ht="19.5" customHeight="1">
      <c r="A27" s="288">
        <v>5</v>
      </c>
      <c r="B27" s="289" t="s">
        <v>39</v>
      </c>
      <c r="C27" s="290">
        <f t="shared" si="0"/>
        <v>200</v>
      </c>
      <c r="D27" s="290">
        <v>200</v>
      </c>
      <c r="E27" s="290"/>
    </row>
    <row r="28" spans="1:5" s="317" customFormat="1" ht="19.5" customHeight="1">
      <c r="A28" s="288">
        <v>6</v>
      </c>
      <c r="B28" s="289" t="s">
        <v>40</v>
      </c>
      <c r="C28" s="290">
        <f t="shared" si="0"/>
        <v>3686</v>
      </c>
      <c r="D28" s="290">
        <v>1786</v>
      </c>
      <c r="E28" s="290">
        <v>1900</v>
      </c>
    </row>
    <row r="29" spans="1:5" s="317" customFormat="1" ht="19.5" customHeight="1">
      <c r="A29" s="288">
        <v>7</v>
      </c>
      <c r="B29" s="289" t="s">
        <v>41</v>
      </c>
      <c r="C29" s="290">
        <f t="shared" si="0"/>
        <v>2889</v>
      </c>
      <c r="D29" s="290">
        <v>2604</v>
      </c>
      <c r="E29" s="290">
        <v>285</v>
      </c>
    </row>
    <row r="30" spans="1:5" s="317" customFormat="1" ht="19.5" customHeight="1">
      <c r="A30" s="288">
        <v>8</v>
      </c>
      <c r="B30" s="289" t="s">
        <v>42</v>
      </c>
      <c r="C30" s="290">
        <f t="shared" si="0"/>
        <v>616</v>
      </c>
      <c r="D30" s="290">
        <v>616</v>
      </c>
      <c r="E30" s="290"/>
    </row>
    <row r="31" spans="1:5" ht="19.5" customHeight="1">
      <c r="A31" s="288">
        <v>9</v>
      </c>
      <c r="B31" s="289" t="s">
        <v>43</v>
      </c>
      <c r="C31" s="290">
        <f t="shared" si="0"/>
        <v>4232</v>
      </c>
      <c r="D31" s="290">
        <v>4232</v>
      </c>
      <c r="E31" s="290"/>
    </row>
    <row r="32" spans="1:5" ht="19.5" customHeight="1">
      <c r="A32" s="288">
        <v>10</v>
      </c>
      <c r="B32" s="289" t="s">
        <v>233</v>
      </c>
      <c r="C32" s="290">
        <f t="shared" si="0"/>
        <v>56948</v>
      </c>
      <c r="D32" s="290">
        <v>54893</v>
      </c>
      <c r="E32" s="290">
        <v>2055</v>
      </c>
    </row>
    <row r="33" spans="1:5" ht="19.5" customHeight="1">
      <c r="A33" s="288">
        <v>11</v>
      </c>
      <c r="B33" s="289" t="s">
        <v>205</v>
      </c>
      <c r="C33" s="290">
        <f t="shared" si="0"/>
        <v>110925</v>
      </c>
      <c r="D33" s="290">
        <v>39040</v>
      </c>
      <c r="E33" s="290">
        <v>71885</v>
      </c>
    </row>
    <row r="34" spans="1:5" ht="19.5" customHeight="1">
      <c r="A34" s="288">
        <v>12</v>
      </c>
      <c r="B34" s="289" t="s">
        <v>28</v>
      </c>
      <c r="C34" s="290">
        <f t="shared" si="0"/>
        <v>47164</v>
      </c>
      <c r="D34" s="290">
        <v>45545</v>
      </c>
      <c r="E34" s="290">
        <v>1619</v>
      </c>
    </row>
    <row r="35" spans="1:5" ht="19.5" customHeight="1">
      <c r="A35" s="288">
        <v>13</v>
      </c>
      <c r="B35" s="289" t="s">
        <v>44</v>
      </c>
      <c r="C35" s="290">
        <f t="shared" si="0"/>
        <v>18045</v>
      </c>
      <c r="D35" s="290">
        <v>14572</v>
      </c>
      <c r="E35" s="290">
        <v>3473</v>
      </c>
    </row>
    <row r="36" spans="1:5" ht="19.5" customHeight="1">
      <c r="A36" s="288">
        <v>14</v>
      </c>
      <c r="B36" s="289" t="s">
        <v>349</v>
      </c>
      <c r="C36" s="290">
        <f t="shared" si="0"/>
        <v>0</v>
      </c>
      <c r="D36" s="291"/>
      <c r="E36" s="290"/>
    </row>
    <row r="37" spans="1:5" ht="19.5" customHeight="1">
      <c r="A37" s="283" t="s">
        <v>23</v>
      </c>
      <c r="B37" s="284" t="s">
        <v>30</v>
      </c>
      <c r="C37" s="285">
        <f t="shared" si="0"/>
        <v>14694</v>
      </c>
      <c r="D37" s="285">
        <v>12835</v>
      </c>
      <c r="E37" s="285">
        <v>1859</v>
      </c>
    </row>
    <row r="38" spans="1:5" ht="21" customHeight="1">
      <c r="A38" s="283" t="s">
        <v>24</v>
      </c>
      <c r="B38" s="284" t="s">
        <v>77</v>
      </c>
      <c r="C38" s="285">
        <f t="shared" si="0"/>
        <v>0</v>
      </c>
      <c r="D38" s="285"/>
      <c r="E38" s="285"/>
    </row>
    <row r="39" spans="1:5" ht="20.25" customHeight="1">
      <c r="A39" s="283" t="s">
        <v>11</v>
      </c>
      <c r="B39" s="293" t="s">
        <v>109</v>
      </c>
      <c r="C39" s="285">
        <f>C40+C50</f>
        <v>214108</v>
      </c>
      <c r="D39" s="285">
        <f>D40+D50</f>
        <v>159258</v>
      </c>
      <c r="E39" s="285">
        <f>E40+E50</f>
        <v>54850</v>
      </c>
    </row>
    <row r="40" spans="1:5" ht="15.75">
      <c r="A40" s="283" t="s">
        <v>21</v>
      </c>
      <c r="B40" s="284" t="s">
        <v>106</v>
      </c>
      <c r="C40" s="285">
        <f>+C41+C44+C47</f>
        <v>210875</v>
      </c>
      <c r="D40" s="285">
        <f>+D41+D44+D47</f>
        <v>159230</v>
      </c>
      <c r="E40" s="285">
        <f>+E41+E44+E47</f>
        <v>51645</v>
      </c>
    </row>
    <row r="41" spans="1:5" ht="31.5">
      <c r="A41" s="288">
        <v>1</v>
      </c>
      <c r="B41" s="323" t="s">
        <v>336</v>
      </c>
      <c r="C41" s="290">
        <f>SUM(C42:C43)</f>
        <v>161997</v>
      </c>
      <c r="D41" s="290">
        <f>SUM(D42:D43)</f>
        <v>126463</v>
      </c>
      <c r="E41" s="290">
        <f>SUM(E42:E43)</f>
        <v>35534</v>
      </c>
    </row>
    <row r="42" spans="1:5" ht="15.75">
      <c r="A42" s="288"/>
      <c r="B42" s="324" t="s">
        <v>358</v>
      </c>
      <c r="C42" s="290">
        <f aca="true" t="shared" si="1" ref="C42:C49">D42+E42</f>
        <v>83500</v>
      </c>
      <c r="D42" s="290">
        <v>83500</v>
      </c>
      <c r="E42" s="290"/>
    </row>
    <row r="43" spans="1:5" ht="15.75">
      <c r="A43" s="288"/>
      <c r="B43" s="324" t="s">
        <v>359</v>
      </c>
      <c r="C43" s="290">
        <f t="shared" si="1"/>
        <v>78497</v>
      </c>
      <c r="D43" s="290">
        <v>42963</v>
      </c>
      <c r="E43" s="290">
        <v>35534</v>
      </c>
    </row>
    <row r="44" spans="1:5" ht="15.75">
      <c r="A44" s="288">
        <v>2</v>
      </c>
      <c r="B44" s="289" t="s">
        <v>200</v>
      </c>
      <c r="C44" s="290">
        <f>SUM(C45:C46)</f>
        <v>48468</v>
      </c>
      <c r="D44" s="290">
        <f>SUM(D45:D46)</f>
        <v>32537</v>
      </c>
      <c r="E44" s="290">
        <f>SUM(E45:E46)</f>
        <v>15931</v>
      </c>
    </row>
    <row r="45" spans="1:5" ht="15.75">
      <c r="A45" s="288"/>
      <c r="B45" s="324" t="s">
        <v>358</v>
      </c>
      <c r="C45" s="290">
        <f>D45+E45</f>
        <v>0</v>
      </c>
      <c r="D45" s="290">
        <v>0</v>
      </c>
      <c r="E45" s="290"/>
    </row>
    <row r="46" spans="1:5" ht="15.75">
      <c r="A46" s="288"/>
      <c r="B46" s="324" t="s">
        <v>359</v>
      </c>
      <c r="C46" s="290">
        <f t="shared" si="1"/>
        <v>48468</v>
      </c>
      <c r="D46" s="290">
        <v>32537</v>
      </c>
      <c r="E46" s="290">
        <v>15931</v>
      </c>
    </row>
    <row r="47" spans="1:5" ht="15.75">
      <c r="A47" s="288">
        <v>3</v>
      </c>
      <c r="B47" s="289" t="s">
        <v>201</v>
      </c>
      <c r="C47" s="290">
        <f>SUM(C48:C49)</f>
        <v>410</v>
      </c>
      <c r="D47" s="290">
        <f>SUM(D48:D49)</f>
        <v>230</v>
      </c>
      <c r="E47" s="290">
        <f>SUM(E48:E49)</f>
        <v>180</v>
      </c>
    </row>
    <row r="48" spans="1:5" ht="15.75">
      <c r="A48" s="288"/>
      <c r="B48" s="324" t="s">
        <v>358</v>
      </c>
      <c r="C48" s="290">
        <f t="shared" si="1"/>
        <v>0</v>
      </c>
      <c r="D48" s="290"/>
      <c r="E48" s="290"/>
    </row>
    <row r="49" spans="1:5" ht="15.75">
      <c r="A49" s="288"/>
      <c r="B49" s="324" t="s">
        <v>359</v>
      </c>
      <c r="C49" s="290">
        <f t="shared" si="1"/>
        <v>410</v>
      </c>
      <c r="D49" s="290">
        <v>230</v>
      </c>
      <c r="E49" s="290">
        <v>180</v>
      </c>
    </row>
    <row r="50" spans="1:5" ht="21.75" customHeight="1">
      <c r="A50" s="283" t="s">
        <v>22</v>
      </c>
      <c r="B50" s="284" t="s">
        <v>218</v>
      </c>
      <c r="C50" s="285">
        <f>SUM(C51:C52)</f>
        <v>3233</v>
      </c>
      <c r="D50" s="285">
        <f>SUM(D51:D52)</f>
        <v>28</v>
      </c>
      <c r="E50" s="285">
        <f>SUM(E51:E52)</f>
        <v>3205</v>
      </c>
    </row>
    <row r="51" spans="1:5" ht="21.75" customHeight="1">
      <c r="A51" s="288">
        <v>1</v>
      </c>
      <c r="B51" s="324" t="s">
        <v>204</v>
      </c>
      <c r="C51" s="290">
        <f>D51+E51</f>
        <v>28</v>
      </c>
      <c r="D51" s="309">
        <v>28</v>
      </c>
      <c r="E51" s="290"/>
    </row>
    <row r="52" spans="1:5" ht="21.75" customHeight="1">
      <c r="A52" s="288">
        <v>2</v>
      </c>
      <c r="B52" s="324" t="s">
        <v>219</v>
      </c>
      <c r="C52" s="290">
        <f>D52+E52</f>
        <v>3205</v>
      </c>
      <c r="D52" s="309"/>
      <c r="E52" s="309">
        <v>3205</v>
      </c>
    </row>
    <row r="53" spans="1:5" ht="21.75" customHeight="1" thickBot="1">
      <c r="A53" s="456" t="s">
        <v>356</v>
      </c>
      <c r="B53" s="457" t="s">
        <v>357</v>
      </c>
      <c r="C53" s="458"/>
      <c r="D53" s="458"/>
      <c r="E53" s="458"/>
    </row>
    <row r="54" ht="16.5" thickTop="1"/>
  </sheetData>
  <sheetProtection/>
  <mergeCells count="8">
    <mergeCell ref="A4:E4"/>
    <mergeCell ref="A6:A7"/>
    <mergeCell ref="B6:B7"/>
    <mergeCell ref="C6:C7"/>
    <mergeCell ref="C1:E1"/>
    <mergeCell ref="A3:E3"/>
    <mergeCell ref="D5:E5"/>
    <mergeCell ref="D6:E6"/>
  </mergeCells>
  <printOptions/>
  <pageMargins left="0.68" right="0.23" top="0.75" bottom="0.75" header="0.3" footer="0.3"/>
  <pageSetup fitToHeight="0" fitToWidth="1" horizontalDpi="600" verticalDpi="600" orientation="portrait" paperSize="9" scale="99" r:id="rId1"/>
  <colBreaks count="1" manualBreakCount="1">
    <brk id="5" max="65535" man="1"/>
  </colBreaks>
</worksheet>
</file>

<file path=xl/worksheets/sheet8.xml><?xml version="1.0" encoding="utf-8"?>
<worksheet xmlns="http://schemas.openxmlformats.org/spreadsheetml/2006/main" xmlns:r="http://schemas.openxmlformats.org/officeDocument/2006/relationships">
  <sheetPr>
    <tabColor rgb="FFFFFF99"/>
    <pageSetUpPr fitToPage="1"/>
  </sheetPr>
  <dimension ref="A1:E38"/>
  <sheetViews>
    <sheetView view="pageBreakPreview" zoomScale="60" zoomScalePageLayoutView="0" workbookViewId="0" topLeftCell="A1">
      <selection activeCell="A36" sqref="A36:C36"/>
    </sheetView>
  </sheetViews>
  <sheetFormatPr defaultColWidth="8.796875" defaultRowHeight="15"/>
  <cols>
    <col min="1" max="1" width="5.09765625" style="28" customWidth="1"/>
    <col min="2" max="2" width="60.19921875" style="28" customWidth="1"/>
    <col min="3" max="3" width="19.09765625" style="97" customWidth="1"/>
    <col min="4" max="16384" width="9" style="28" customWidth="1"/>
  </cols>
  <sheetData>
    <row r="1" spans="1:3" ht="21" customHeight="1">
      <c r="A1" s="261"/>
      <c r="B1" s="386" t="s">
        <v>189</v>
      </c>
      <c r="C1" s="386"/>
    </row>
    <row r="2" spans="1:3" ht="21" customHeight="1">
      <c r="A2" s="361" t="s">
        <v>360</v>
      </c>
      <c r="B2" s="361"/>
      <c r="C2" s="361"/>
    </row>
    <row r="3" spans="1:3" ht="21" customHeight="1">
      <c r="A3" s="370" t="str">
        <f>PL15!A3</f>
        <v>(Kèm theo Nghị quyết số       /NQ-HĐND ngày       tháng 12 năm 2022 của HĐND huyện Tuần Giáo)</v>
      </c>
      <c r="B3" s="370"/>
      <c r="C3" s="370"/>
    </row>
    <row r="4" spans="1:3" ht="23.25" customHeight="1">
      <c r="A4" s="325"/>
      <c r="B4" s="325"/>
      <c r="C4" s="326" t="s">
        <v>92</v>
      </c>
    </row>
    <row r="5" spans="1:3" ht="9.75" customHeight="1">
      <c r="A5" s="373" t="s">
        <v>62</v>
      </c>
      <c r="B5" s="373" t="s">
        <v>6</v>
      </c>
      <c r="C5" s="372" t="s">
        <v>7</v>
      </c>
    </row>
    <row r="6" spans="1:3" ht="9.75" customHeight="1">
      <c r="A6" s="373"/>
      <c r="B6" s="373"/>
      <c r="C6" s="372"/>
    </row>
    <row r="7" spans="1:3" ht="9.75" customHeight="1">
      <c r="A7" s="373"/>
      <c r="B7" s="373"/>
      <c r="C7" s="372"/>
    </row>
    <row r="8" spans="1:3" s="62" customFormat="1" ht="17.25" customHeight="1">
      <c r="A8" s="283" t="s">
        <v>10</v>
      </c>
      <c r="B8" s="283" t="s">
        <v>11</v>
      </c>
      <c r="C8" s="283">
        <v>1</v>
      </c>
    </row>
    <row r="9" spans="1:3" ht="21.75" customHeight="1">
      <c r="A9" s="283"/>
      <c r="B9" s="284" t="s">
        <v>103</v>
      </c>
      <c r="C9" s="327">
        <f>C10+C13+C38</f>
        <v>788276</v>
      </c>
    </row>
    <row r="10" spans="1:3" ht="21.75" customHeight="1">
      <c r="A10" s="283" t="s">
        <v>10</v>
      </c>
      <c r="B10" s="284" t="s">
        <v>198</v>
      </c>
      <c r="C10" s="327">
        <f>C11+C12</f>
        <v>143741</v>
      </c>
    </row>
    <row r="11" spans="1:3" ht="21.75" customHeight="1">
      <c r="A11" s="288">
        <v>1</v>
      </c>
      <c r="B11" s="289" t="s">
        <v>199</v>
      </c>
      <c r="C11" s="309">
        <v>88891</v>
      </c>
    </row>
    <row r="12" spans="1:3" ht="21.75" customHeight="1">
      <c r="A12" s="288">
        <v>2</v>
      </c>
      <c r="B12" s="289" t="s">
        <v>101</v>
      </c>
      <c r="C12" s="309">
        <v>54850</v>
      </c>
    </row>
    <row r="13" spans="1:5" ht="21.75" customHeight="1">
      <c r="A13" s="283" t="s">
        <v>11</v>
      </c>
      <c r="B13" s="284" t="s">
        <v>197</v>
      </c>
      <c r="C13" s="327">
        <f>C14+C21+C36+C37</f>
        <v>644535</v>
      </c>
      <c r="D13" s="55"/>
      <c r="E13" s="55"/>
    </row>
    <row r="14" spans="1:3" ht="21.75" customHeight="1">
      <c r="A14" s="283" t="s">
        <v>21</v>
      </c>
      <c r="B14" s="284" t="s">
        <v>45</v>
      </c>
      <c r="C14" s="327">
        <f>C15+C20</f>
        <v>36868</v>
      </c>
    </row>
    <row r="15" spans="1:5" s="63" customFormat="1" ht="21.75" customHeight="1">
      <c r="A15" s="288">
        <v>1</v>
      </c>
      <c r="B15" s="289" t="s">
        <v>76</v>
      </c>
      <c r="C15" s="309">
        <f>SUM(C16:C19)</f>
        <v>36868</v>
      </c>
      <c r="E15" s="64"/>
    </row>
    <row r="16" spans="1:3" s="63" customFormat="1" ht="21.75" customHeight="1">
      <c r="A16" s="292" t="s">
        <v>18</v>
      </c>
      <c r="B16" s="320" t="s">
        <v>344</v>
      </c>
      <c r="C16" s="309">
        <v>6000</v>
      </c>
    </row>
    <row r="17" spans="1:3" s="63" customFormat="1" ht="21.75" customHeight="1" hidden="1">
      <c r="A17" s="292" t="s">
        <v>18</v>
      </c>
      <c r="B17" s="320" t="s">
        <v>89</v>
      </c>
      <c r="C17" s="309"/>
    </row>
    <row r="18" spans="1:3" s="63" customFormat="1" ht="21.75" customHeight="1">
      <c r="A18" s="292" t="s">
        <v>18</v>
      </c>
      <c r="B18" s="320" t="s">
        <v>117</v>
      </c>
      <c r="C18" s="309">
        <f>36868-C16</f>
        <v>30868</v>
      </c>
    </row>
    <row r="19" spans="1:3" s="63" customFormat="1" ht="21.75" customHeight="1" hidden="1">
      <c r="A19" s="292" t="s">
        <v>18</v>
      </c>
      <c r="B19" s="320" t="s">
        <v>345</v>
      </c>
      <c r="C19" s="309"/>
    </row>
    <row r="20" spans="1:3" ht="21.75" customHeight="1" hidden="1">
      <c r="A20" s="292">
        <v>2</v>
      </c>
      <c r="B20" s="289" t="s">
        <v>142</v>
      </c>
      <c r="C20" s="309"/>
    </row>
    <row r="21" spans="1:3" ht="21.75" customHeight="1">
      <c r="A21" s="283" t="s">
        <v>22</v>
      </c>
      <c r="B21" s="284" t="s">
        <v>27</v>
      </c>
      <c r="C21" s="327">
        <f>SUM(C22:C35)</f>
        <v>594832</v>
      </c>
    </row>
    <row r="22" spans="1:3" s="63" customFormat="1" ht="21.75" customHeight="1">
      <c r="A22" s="288">
        <v>1</v>
      </c>
      <c r="B22" s="289" t="s">
        <v>246</v>
      </c>
      <c r="C22" s="309">
        <v>424458</v>
      </c>
    </row>
    <row r="23" spans="1:3" s="63" customFormat="1" ht="21.75" customHeight="1">
      <c r="A23" s="288">
        <v>2</v>
      </c>
      <c r="B23" s="289" t="s">
        <v>36</v>
      </c>
      <c r="C23" s="309">
        <v>600</v>
      </c>
    </row>
    <row r="24" spans="1:3" s="63" customFormat="1" ht="21.75" customHeight="1">
      <c r="A24" s="288">
        <v>3</v>
      </c>
      <c r="B24" s="328" t="s">
        <v>37</v>
      </c>
      <c r="C24" s="309">
        <v>4854</v>
      </c>
    </row>
    <row r="25" spans="1:3" s="63" customFormat="1" ht="21.75" customHeight="1">
      <c r="A25" s="288">
        <v>4</v>
      </c>
      <c r="B25" s="328" t="s">
        <v>38</v>
      </c>
      <c r="C25" s="309">
        <v>1432</v>
      </c>
    </row>
    <row r="26" spans="1:3" s="63" customFormat="1" ht="21.75" customHeight="1">
      <c r="A26" s="288">
        <v>5</v>
      </c>
      <c r="B26" s="328" t="s">
        <v>39</v>
      </c>
      <c r="C26" s="309">
        <v>200</v>
      </c>
    </row>
    <row r="27" spans="1:3" s="63" customFormat="1" ht="21.75" customHeight="1">
      <c r="A27" s="288">
        <v>6</v>
      </c>
      <c r="B27" s="328" t="s">
        <v>40</v>
      </c>
      <c r="C27" s="309">
        <v>1786</v>
      </c>
    </row>
    <row r="28" spans="1:3" s="63" customFormat="1" ht="21.75" customHeight="1">
      <c r="A28" s="288">
        <v>7</v>
      </c>
      <c r="B28" s="328" t="s">
        <v>41</v>
      </c>
      <c r="C28" s="309">
        <v>2604</v>
      </c>
    </row>
    <row r="29" spans="1:3" s="63" customFormat="1" ht="21.75" customHeight="1">
      <c r="A29" s="288">
        <v>8</v>
      </c>
      <c r="B29" s="328" t="s">
        <v>42</v>
      </c>
      <c r="C29" s="309">
        <v>616</v>
      </c>
    </row>
    <row r="30" spans="1:3" s="63" customFormat="1" ht="21.75" customHeight="1">
      <c r="A30" s="288">
        <v>9</v>
      </c>
      <c r="B30" s="328" t="s">
        <v>43</v>
      </c>
      <c r="C30" s="309">
        <v>4232</v>
      </c>
    </row>
    <row r="31" spans="1:3" ht="21.75" customHeight="1">
      <c r="A31" s="288">
        <v>10</v>
      </c>
      <c r="B31" s="328" t="s">
        <v>233</v>
      </c>
      <c r="C31" s="309">
        <v>54893</v>
      </c>
    </row>
    <row r="32" spans="1:3" s="63" customFormat="1" ht="21.75" customHeight="1">
      <c r="A32" s="288">
        <v>11</v>
      </c>
      <c r="B32" s="328" t="s">
        <v>205</v>
      </c>
      <c r="C32" s="309">
        <v>39040</v>
      </c>
    </row>
    <row r="33" spans="1:3" ht="21.75" customHeight="1">
      <c r="A33" s="288">
        <v>12</v>
      </c>
      <c r="B33" s="328" t="s">
        <v>28</v>
      </c>
      <c r="C33" s="309">
        <v>45545</v>
      </c>
    </row>
    <row r="34" spans="1:3" ht="21.75" customHeight="1">
      <c r="A34" s="288">
        <v>13</v>
      </c>
      <c r="B34" s="328" t="s">
        <v>44</v>
      </c>
      <c r="C34" s="309">
        <v>14572</v>
      </c>
    </row>
    <row r="35" spans="1:3" ht="21.75" customHeight="1" hidden="1">
      <c r="A35" s="288">
        <v>14</v>
      </c>
      <c r="B35" s="289" t="s">
        <v>349</v>
      </c>
      <c r="C35" s="309"/>
    </row>
    <row r="36" spans="1:3" ht="21.75" customHeight="1" thickBot="1">
      <c r="A36" s="456" t="s">
        <v>23</v>
      </c>
      <c r="B36" s="457" t="s">
        <v>30</v>
      </c>
      <c r="C36" s="459">
        <v>12835</v>
      </c>
    </row>
    <row r="37" spans="1:3" ht="21.75" customHeight="1" hidden="1">
      <c r="A37" s="329" t="s">
        <v>24</v>
      </c>
      <c r="B37" s="330" t="s">
        <v>77</v>
      </c>
      <c r="C37" s="331"/>
    </row>
    <row r="38" spans="1:3" ht="21.75" customHeight="1" hidden="1">
      <c r="A38" s="332" t="s">
        <v>356</v>
      </c>
      <c r="B38" s="333" t="s">
        <v>357</v>
      </c>
      <c r="C38" s="334"/>
    </row>
    <row r="39" ht="15.75" hidden="1"/>
    <row r="40" ht="15.75" hidden="1"/>
    <row r="41" ht="16.5" thickTop="1"/>
  </sheetData>
  <sheetProtection/>
  <mergeCells count="6">
    <mergeCell ref="B1:C1"/>
    <mergeCell ref="A2:C2"/>
    <mergeCell ref="A3:C3"/>
    <mergeCell ref="A5:A7"/>
    <mergeCell ref="B5:B7"/>
    <mergeCell ref="C5:C7"/>
  </mergeCells>
  <printOptions/>
  <pageMargins left="0.62" right="0.38" top="0.88" bottom="0.75" header="0.57"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pageSetUpPr fitToPage="1"/>
  </sheetPr>
  <dimension ref="A1:N42"/>
  <sheetViews>
    <sheetView view="pageBreakPreview" zoomScale="60" zoomScalePageLayoutView="0" workbookViewId="0" topLeftCell="A1">
      <selection activeCell="Q28" sqref="Q28"/>
    </sheetView>
  </sheetViews>
  <sheetFormatPr defaultColWidth="8.796875" defaultRowHeight="15"/>
  <cols>
    <col min="1" max="1" width="5.5" style="339" customWidth="1"/>
    <col min="2" max="2" width="36.09765625" style="339" customWidth="1"/>
    <col min="3" max="5" width="10.09765625" style="339" customWidth="1"/>
    <col min="6" max="6" width="7.19921875" style="339" customWidth="1"/>
    <col min="7" max="7" width="9.19921875" style="339" hidden="1" customWidth="1"/>
    <col min="8" max="9" width="10.09765625" style="339" customWidth="1"/>
    <col min="10" max="10" width="8" style="339" customWidth="1"/>
    <col min="11" max="11" width="6.69921875" style="339" customWidth="1"/>
    <col min="12" max="12" width="8.3984375" style="339" customWidth="1"/>
    <col min="13" max="13" width="8.59765625" style="339" customWidth="1"/>
    <col min="14" max="14" width="9.3984375" style="339" hidden="1" customWidth="1"/>
    <col min="15" max="16384" width="9" style="339" customWidth="1"/>
  </cols>
  <sheetData>
    <row r="1" spans="1:14" ht="21" customHeight="1">
      <c r="A1" s="335"/>
      <c r="B1" s="335"/>
      <c r="C1" s="336"/>
      <c r="D1" s="336"/>
      <c r="E1" s="336"/>
      <c r="F1" s="335"/>
      <c r="G1" s="336"/>
      <c r="H1" s="336"/>
      <c r="I1" s="337"/>
      <c r="J1" s="337"/>
      <c r="K1" s="337"/>
      <c r="L1" s="301"/>
      <c r="M1" s="338" t="s">
        <v>188</v>
      </c>
      <c r="N1" s="337"/>
    </row>
    <row r="2" spans="1:14" ht="21" customHeight="1">
      <c r="A2" s="279" t="s">
        <v>361</v>
      </c>
      <c r="B2" s="335"/>
      <c r="C2" s="336"/>
      <c r="D2" s="336"/>
      <c r="E2" s="336"/>
      <c r="F2" s="336"/>
      <c r="G2" s="336"/>
      <c r="H2" s="336"/>
      <c r="I2" s="336"/>
      <c r="J2" s="336"/>
      <c r="K2" s="336"/>
      <c r="L2" s="336"/>
      <c r="M2" s="336"/>
      <c r="N2" s="336"/>
    </row>
    <row r="3" spans="1:14" ht="21" customHeight="1">
      <c r="A3" s="340" t="str">
        <f>PL15!A3</f>
        <v>(Kèm theo Nghị quyết số       /NQ-HĐND ngày       tháng 12 năm 2022 của HĐND huyện Tuần Giáo)</v>
      </c>
      <c r="B3" s="335"/>
      <c r="C3" s="336"/>
      <c r="D3" s="336"/>
      <c r="E3" s="336"/>
      <c r="F3" s="336"/>
      <c r="G3" s="336"/>
      <c r="H3" s="336"/>
      <c r="I3" s="336"/>
      <c r="J3" s="336"/>
      <c r="K3" s="336"/>
      <c r="L3" s="336"/>
      <c r="M3" s="336"/>
      <c r="N3" s="336"/>
    </row>
    <row r="4" spans="1:14" ht="19.5" customHeight="1">
      <c r="A4" s="341"/>
      <c r="B4" s="341"/>
      <c r="C4" s="342"/>
      <c r="D4" s="342"/>
      <c r="E4" s="342"/>
      <c r="F4" s="343"/>
      <c r="G4" s="343"/>
      <c r="H4" s="343"/>
      <c r="I4" s="343"/>
      <c r="J4" s="343"/>
      <c r="K4" s="343"/>
      <c r="L4" s="344"/>
      <c r="M4" s="345" t="s">
        <v>92</v>
      </c>
      <c r="N4" s="346"/>
    </row>
    <row r="5" spans="1:14" ht="39" customHeight="1">
      <c r="A5" s="390" t="s">
        <v>62</v>
      </c>
      <c r="B5" s="391" t="s">
        <v>32</v>
      </c>
      <c r="C5" s="391" t="s">
        <v>81</v>
      </c>
      <c r="D5" s="390" t="s">
        <v>383</v>
      </c>
      <c r="E5" s="390" t="s">
        <v>384</v>
      </c>
      <c r="F5" s="390" t="s">
        <v>98</v>
      </c>
      <c r="G5" s="390" t="s">
        <v>77</v>
      </c>
      <c r="H5" s="391" t="s">
        <v>122</v>
      </c>
      <c r="I5" s="391"/>
      <c r="J5" s="391"/>
      <c r="K5" s="390" t="s">
        <v>181</v>
      </c>
      <c r="L5" s="390"/>
      <c r="M5" s="390"/>
      <c r="N5" s="390" t="s">
        <v>99</v>
      </c>
    </row>
    <row r="6" spans="1:14" ht="19.5" customHeight="1">
      <c r="A6" s="390"/>
      <c r="B6" s="391"/>
      <c r="C6" s="391"/>
      <c r="D6" s="390"/>
      <c r="E6" s="390"/>
      <c r="F6" s="390"/>
      <c r="G6" s="390"/>
      <c r="H6" s="391" t="s">
        <v>81</v>
      </c>
      <c r="I6" s="390" t="s">
        <v>25</v>
      </c>
      <c r="J6" s="390" t="s">
        <v>27</v>
      </c>
      <c r="K6" s="390" t="s">
        <v>81</v>
      </c>
      <c r="L6" s="390" t="s">
        <v>25</v>
      </c>
      <c r="M6" s="390" t="s">
        <v>27</v>
      </c>
      <c r="N6" s="390"/>
    </row>
    <row r="7" spans="1:14" ht="19.5" customHeight="1">
      <c r="A7" s="390"/>
      <c r="B7" s="391"/>
      <c r="C7" s="391"/>
      <c r="D7" s="390"/>
      <c r="E7" s="390"/>
      <c r="F7" s="390"/>
      <c r="G7" s="390"/>
      <c r="H7" s="391"/>
      <c r="I7" s="390"/>
      <c r="J7" s="390"/>
      <c r="K7" s="390"/>
      <c r="L7" s="390"/>
      <c r="M7" s="390"/>
      <c r="N7" s="390"/>
    </row>
    <row r="8" spans="1:14" ht="25.5" customHeight="1">
      <c r="A8" s="390"/>
      <c r="B8" s="391"/>
      <c r="C8" s="391"/>
      <c r="D8" s="390"/>
      <c r="E8" s="390"/>
      <c r="F8" s="390"/>
      <c r="G8" s="390"/>
      <c r="H8" s="391"/>
      <c r="I8" s="390"/>
      <c r="J8" s="390"/>
      <c r="K8" s="390"/>
      <c r="L8" s="390"/>
      <c r="M8" s="390"/>
      <c r="N8" s="390"/>
    </row>
    <row r="9" spans="1:14" s="301" customFormat="1" ht="18.75" customHeight="1">
      <c r="A9" s="268" t="s">
        <v>10</v>
      </c>
      <c r="B9" s="268" t="s">
        <v>11</v>
      </c>
      <c r="C9" s="268">
        <v>1</v>
      </c>
      <c r="D9" s="347">
        <f>C9+1</f>
        <v>2</v>
      </c>
      <c r="E9" s="347">
        <f aca="true" t="shared" si="0" ref="E9:M9">D9+1</f>
        <v>3</v>
      </c>
      <c r="F9" s="347">
        <v>4</v>
      </c>
      <c r="G9" s="347"/>
      <c r="H9" s="347">
        <v>5</v>
      </c>
      <c r="I9" s="347">
        <f t="shared" si="0"/>
        <v>6</v>
      </c>
      <c r="J9" s="347">
        <f t="shared" si="0"/>
        <v>7</v>
      </c>
      <c r="K9" s="347">
        <f t="shared" si="0"/>
        <v>8</v>
      </c>
      <c r="L9" s="347">
        <f t="shared" si="0"/>
        <v>9</v>
      </c>
      <c r="M9" s="347">
        <f t="shared" si="0"/>
        <v>10</v>
      </c>
      <c r="N9" s="347">
        <v>12</v>
      </c>
    </row>
    <row r="10" spans="1:14" ht="18.75" customHeight="1">
      <c r="A10" s="348"/>
      <c r="B10" s="349" t="s">
        <v>31</v>
      </c>
      <c r="C10" s="350">
        <f aca="true" t="shared" si="1" ref="C10:N10">C11+C37+C38+C39+C40</f>
        <v>948814</v>
      </c>
      <c r="D10" s="350">
        <f t="shared" si="1"/>
        <v>36868</v>
      </c>
      <c r="E10" s="350">
        <f>E11+E37+E38+E39+E40</f>
        <v>683144</v>
      </c>
      <c r="F10" s="350">
        <f t="shared" si="1"/>
        <v>14694</v>
      </c>
      <c r="G10" s="350">
        <f t="shared" si="1"/>
        <v>0</v>
      </c>
      <c r="H10" s="350">
        <f>H11+H37+H38+H39+H40</f>
        <v>210875</v>
      </c>
      <c r="I10" s="350">
        <f t="shared" si="1"/>
        <v>83500</v>
      </c>
      <c r="J10" s="350">
        <f t="shared" si="1"/>
        <v>127375</v>
      </c>
      <c r="K10" s="350">
        <f t="shared" si="1"/>
        <v>3233</v>
      </c>
      <c r="L10" s="350">
        <f t="shared" si="1"/>
        <v>0</v>
      </c>
      <c r="M10" s="350">
        <f t="shared" si="1"/>
        <v>3233</v>
      </c>
      <c r="N10" s="351">
        <f t="shared" si="1"/>
        <v>0</v>
      </c>
    </row>
    <row r="11" spans="1:14" s="353" customFormat="1" ht="18.75" customHeight="1">
      <c r="A11" s="348" t="s">
        <v>21</v>
      </c>
      <c r="B11" s="349" t="s">
        <v>123</v>
      </c>
      <c r="C11" s="350">
        <f aca="true" t="shared" si="2" ref="C11:N11">SUM(C12:C36)</f>
        <v>788258</v>
      </c>
      <c r="D11" s="350">
        <f t="shared" si="2"/>
        <v>34168</v>
      </c>
      <c r="E11" s="350">
        <f>SUM(E12:E36)</f>
        <v>594832</v>
      </c>
      <c r="F11" s="350">
        <f t="shared" si="2"/>
        <v>0</v>
      </c>
      <c r="G11" s="350">
        <f t="shared" si="2"/>
        <v>0</v>
      </c>
      <c r="H11" s="350">
        <f t="shared" si="2"/>
        <v>159230</v>
      </c>
      <c r="I11" s="350">
        <f t="shared" si="2"/>
        <v>83500</v>
      </c>
      <c r="J11" s="350">
        <f t="shared" si="2"/>
        <v>75730</v>
      </c>
      <c r="K11" s="350">
        <f t="shared" si="2"/>
        <v>28</v>
      </c>
      <c r="L11" s="350">
        <f t="shared" si="2"/>
        <v>0</v>
      </c>
      <c r="M11" s="350">
        <f>SUM(M12:M36)</f>
        <v>28</v>
      </c>
      <c r="N11" s="352">
        <f t="shared" si="2"/>
        <v>0</v>
      </c>
    </row>
    <row r="12" spans="1:14" ht="18.75" customHeight="1">
      <c r="A12" s="268">
        <v>1</v>
      </c>
      <c r="B12" s="354" t="s">
        <v>162</v>
      </c>
      <c r="C12" s="355">
        <f>SUM(D12:H12)+K12+N12</f>
        <v>9429</v>
      </c>
      <c r="D12" s="355"/>
      <c r="E12" s="355">
        <v>9429</v>
      </c>
      <c r="F12" s="355"/>
      <c r="G12" s="355"/>
      <c r="H12" s="355">
        <f>I12+J12</f>
        <v>0</v>
      </c>
      <c r="I12" s="355"/>
      <c r="J12" s="355"/>
      <c r="K12" s="355">
        <f>L12+M12</f>
        <v>0</v>
      </c>
      <c r="L12" s="355"/>
      <c r="M12" s="355"/>
      <c r="N12" s="356"/>
    </row>
    <row r="13" spans="1:14" ht="18.75" customHeight="1">
      <c r="A13" s="268">
        <f>A12+1</f>
        <v>2</v>
      </c>
      <c r="B13" s="354" t="s">
        <v>163</v>
      </c>
      <c r="C13" s="355">
        <f aca="true" t="shared" si="3" ref="C13:C40">SUM(D13:H13)+K13+N13</f>
        <v>8107</v>
      </c>
      <c r="D13" s="355"/>
      <c r="E13" s="355">
        <v>8107</v>
      </c>
      <c r="F13" s="355"/>
      <c r="G13" s="355"/>
      <c r="H13" s="355">
        <f aca="true" t="shared" si="4" ref="H13:H40">I13+J13</f>
        <v>0</v>
      </c>
      <c r="I13" s="355"/>
      <c r="J13" s="355"/>
      <c r="K13" s="355">
        <f aca="true" t="shared" si="5" ref="K13:K40">L13+M13</f>
        <v>0</v>
      </c>
      <c r="L13" s="355"/>
      <c r="M13" s="355"/>
      <c r="N13" s="356"/>
    </row>
    <row r="14" spans="1:14" ht="18.75" customHeight="1">
      <c r="A14" s="268">
        <f>A13+1</f>
        <v>3</v>
      </c>
      <c r="B14" s="354" t="s">
        <v>164</v>
      </c>
      <c r="C14" s="355">
        <f t="shared" si="3"/>
        <v>7822</v>
      </c>
      <c r="D14" s="355"/>
      <c r="E14" s="355">
        <v>3976</v>
      </c>
      <c r="F14" s="355"/>
      <c r="G14" s="355"/>
      <c r="H14" s="355">
        <f t="shared" si="4"/>
        <v>3846</v>
      </c>
      <c r="I14" s="355"/>
      <c r="J14" s="355">
        <v>3846</v>
      </c>
      <c r="K14" s="355">
        <f t="shared" si="5"/>
        <v>0</v>
      </c>
      <c r="L14" s="355"/>
      <c r="M14" s="355"/>
      <c r="N14" s="356"/>
    </row>
    <row r="15" spans="1:14" ht="18.75" customHeight="1">
      <c r="A15" s="268">
        <f aca="true" t="shared" si="6" ref="A15:A36">A14+1</f>
        <v>4</v>
      </c>
      <c r="B15" s="354" t="s">
        <v>165</v>
      </c>
      <c r="C15" s="355">
        <f t="shared" si="3"/>
        <v>30453</v>
      </c>
      <c r="D15" s="355"/>
      <c r="E15" s="355">
        <v>11907</v>
      </c>
      <c r="F15" s="355"/>
      <c r="G15" s="355"/>
      <c r="H15" s="355">
        <f t="shared" si="4"/>
        <v>18546</v>
      </c>
      <c r="I15" s="355"/>
      <c r="J15" s="355">
        <v>18546</v>
      </c>
      <c r="K15" s="355">
        <f t="shared" si="5"/>
        <v>0</v>
      </c>
      <c r="L15" s="355"/>
      <c r="M15" s="355"/>
      <c r="N15" s="356"/>
    </row>
    <row r="16" spans="1:14" ht="18.75" customHeight="1">
      <c r="A16" s="268">
        <f t="shared" si="6"/>
        <v>5</v>
      </c>
      <c r="B16" s="354" t="s">
        <v>166</v>
      </c>
      <c r="C16" s="355">
        <f t="shared" si="3"/>
        <v>1277</v>
      </c>
      <c r="D16" s="355"/>
      <c r="E16" s="355">
        <v>1277</v>
      </c>
      <c r="F16" s="355"/>
      <c r="G16" s="355"/>
      <c r="H16" s="355">
        <f t="shared" si="4"/>
        <v>0</v>
      </c>
      <c r="I16" s="355"/>
      <c r="J16" s="355"/>
      <c r="K16" s="355">
        <f t="shared" si="5"/>
        <v>0</v>
      </c>
      <c r="L16" s="355"/>
      <c r="M16" s="355"/>
      <c r="N16" s="356"/>
    </row>
    <row r="17" spans="1:14" ht="18.75" customHeight="1">
      <c r="A17" s="268">
        <f t="shared" si="6"/>
        <v>6</v>
      </c>
      <c r="B17" s="354" t="s">
        <v>167</v>
      </c>
      <c r="C17" s="355">
        <f t="shared" si="3"/>
        <v>8875</v>
      </c>
      <c r="D17" s="355"/>
      <c r="E17" s="355">
        <v>8875</v>
      </c>
      <c r="F17" s="355"/>
      <c r="G17" s="355"/>
      <c r="H17" s="355">
        <f t="shared" si="4"/>
        <v>0</v>
      </c>
      <c r="I17" s="355"/>
      <c r="J17" s="355"/>
      <c r="K17" s="355">
        <f t="shared" si="5"/>
        <v>0</v>
      </c>
      <c r="L17" s="355"/>
      <c r="M17" s="355"/>
      <c r="N17" s="356"/>
    </row>
    <row r="18" spans="1:14" ht="18.75" customHeight="1">
      <c r="A18" s="268">
        <f t="shared" si="6"/>
        <v>7</v>
      </c>
      <c r="B18" s="354" t="s">
        <v>168</v>
      </c>
      <c r="C18" s="355">
        <f t="shared" si="3"/>
        <v>871</v>
      </c>
      <c r="D18" s="355"/>
      <c r="E18" s="355">
        <v>871</v>
      </c>
      <c r="F18" s="355"/>
      <c r="G18" s="355"/>
      <c r="H18" s="355">
        <f t="shared" si="4"/>
        <v>0</v>
      </c>
      <c r="I18" s="355"/>
      <c r="J18" s="355"/>
      <c r="K18" s="355">
        <f t="shared" si="5"/>
        <v>0</v>
      </c>
      <c r="L18" s="355"/>
      <c r="M18" s="355"/>
      <c r="N18" s="356"/>
    </row>
    <row r="19" spans="1:14" ht="18.75" customHeight="1">
      <c r="A19" s="268">
        <f t="shared" si="6"/>
        <v>8</v>
      </c>
      <c r="B19" s="354" t="s">
        <v>169</v>
      </c>
      <c r="C19" s="355">
        <f t="shared" si="3"/>
        <v>639</v>
      </c>
      <c r="D19" s="355"/>
      <c r="E19" s="355">
        <v>639</v>
      </c>
      <c r="F19" s="355"/>
      <c r="G19" s="355"/>
      <c r="H19" s="355">
        <f t="shared" si="4"/>
        <v>0</v>
      </c>
      <c r="I19" s="355"/>
      <c r="J19" s="355"/>
      <c r="K19" s="355">
        <f t="shared" si="5"/>
        <v>0</v>
      </c>
      <c r="L19" s="355"/>
      <c r="M19" s="355"/>
      <c r="N19" s="356"/>
    </row>
    <row r="20" spans="1:14" ht="18.75" customHeight="1">
      <c r="A20" s="268">
        <f t="shared" si="6"/>
        <v>9</v>
      </c>
      <c r="B20" s="354" t="s">
        <v>170</v>
      </c>
      <c r="C20" s="355">
        <f t="shared" si="3"/>
        <v>30953</v>
      </c>
      <c r="D20" s="355"/>
      <c r="E20" s="355">
        <v>15989</v>
      </c>
      <c r="F20" s="355"/>
      <c r="G20" s="355"/>
      <c r="H20" s="355">
        <f t="shared" si="4"/>
        <v>14964</v>
      </c>
      <c r="I20" s="355"/>
      <c r="J20" s="355">
        <v>14964</v>
      </c>
      <c r="K20" s="355">
        <f t="shared" si="5"/>
        <v>0</v>
      </c>
      <c r="L20" s="355"/>
      <c r="M20" s="355"/>
      <c r="N20" s="356"/>
    </row>
    <row r="21" spans="1:14" ht="18.75" customHeight="1">
      <c r="A21" s="268">
        <f t="shared" si="6"/>
        <v>10</v>
      </c>
      <c r="B21" s="354" t="s">
        <v>171</v>
      </c>
      <c r="C21" s="355">
        <f t="shared" si="3"/>
        <v>2197</v>
      </c>
      <c r="D21" s="355"/>
      <c r="E21" s="355">
        <v>382</v>
      </c>
      <c r="F21" s="355"/>
      <c r="G21" s="355"/>
      <c r="H21" s="355">
        <f t="shared" si="4"/>
        <v>1815</v>
      </c>
      <c r="I21" s="355"/>
      <c r="J21" s="355">
        <v>1815</v>
      </c>
      <c r="K21" s="355">
        <f t="shared" si="5"/>
        <v>0</v>
      </c>
      <c r="L21" s="355"/>
      <c r="M21" s="355"/>
      <c r="N21" s="356"/>
    </row>
    <row r="22" spans="1:14" ht="18.75" customHeight="1">
      <c r="A22" s="268">
        <f t="shared" si="6"/>
        <v>11</v>
      </c>
      <c r="B22" s="354" t="s">
        <v>172</v>
      </c>
      <c r="C22" s="355">
        <f t="shared" si="3"/>
        <v>1920</v>
      </c>
      <c r="D22" s="355"/>
      <c r="E22" s="355">
        <v>1920</v>
      </c>
      <c r="F22" s="355"/>
      <c r="G22" s="355"/>
      <c r="H22" s="355">
        <f t="shared" si="4"/>
        <v>0</v>
      </c>
      <c r="I22" s="355"/>
      <c r="J22" s="355"/>
      <c r="K22" s="355">
        <f t="shared" si="5"/>
        <v>0</v>
      </c>
      <c r="L22" s="355"/>
      <c r="M22" s="355"/>
      <c r="N22" s="356"/>
    </row>
    <row r="23" spans="1:14" ht="18.75" customHeight="1">
      <c r="A23" s="268">
        <f t="shared" si="6"/>
        <v>12</v>
      </c>
      <c r="B23" s="354" t="s">
        <v>173</v>
      </c>
      <c r="C23" s="355">
        <f t="shared" si="3"/>
        <v>50626</v>
      </c>
      <c r="D23" s="355"/>
      <c r="E23" s="355">
        <v>46458</v>
      </c>
      <c r="F23" s="355"/>
      <c r="G23" s="355"/>
      <c r="H23" s="355">
        <f t="shared" si="4"/>
        <v>4168</v>
      </c>
      <c r="I23" s="355"/>
      <c r="J23" s="355">
        <v>4168</v>
      </c>
      <c r="K23" s="355">
        <f t="shared" si="5"/>
        <v>0</v>
      </c>
      <c r="L23" s="355"/>
      <c r="M23" s="355"/>
      <c r="N23" s="356"/>
    </row>
    <row r="24" spans="1:14" ht="18.75" customHeight="1">
      <c r="A24" s="268">
        <f t="shared" si="6"/>
        <v>13</v>
      </c>
      <c r="B24" s="354" t="s">
        <v>174</v>
      </c>
      <c r="C24" s="355">
        <f t="shared" si="3"/>
        <v>5775</v>
      </c>
      <c r="D24" s="355"/>
      <c r="E24" s="355">
        <v>641</v>
      </c>
      <c r="F24" s="355"/>
      <c r="G24" s="355"/>
      <c r="H24" s="355">
        <f t="shared" si="4"/>
        <v>5134</v>
      </c>
      <c r="I24" s="355"/>
      <c r="J24" s="355">
        <v>5134</v>
      </c>
      <c r="K24" s="355">
        <f t="shared" si="5"/>
        <v>0</v>
      </c>
      <c r="L24" s="355"/>
      <c r="M24" s="355"/>
      <c r="N24" s="356"/>
    </row>
    <row r="25" spans="1:14" ht="18.75" customHeight="1">
      <c r="A25" s="268">
        <f t="shared" si="6"/>
        <v>14</v>
      </c>
      <c r="B25" s="354" t="s">
        <v>175</v>
      </c>
      <c r="C25" s="355">
        <f t="shared" si="3"/>
        <v>424980</v>
      </c>
      <c r="D25" s="355"/>
      <c r="E25" s="355">
        <v>424980</v>
      </c>
      <c r="F25" s="355"/>
      <c r="G25" s="355"/>
      <c r="H25" s="355">
        <f t="shared" si="4"/>
        <v>0</v>
      </c>
      <c r="I25" s="355"/>
      <c r="J25" s="355"/>
      <c r="K25" s="355">
        <f t="shared" si="5"/>
        <v>0</v>
      </c>
      <c r="L25" s="355"/>
      <c r="M25" s="355"/>
      <c r="N25" s="356"/>
    </row>
    <row r="26" spans="1:14" ht="18.75" customHeight="1">
      <c r="A26" s="268">
        <f t="shared" si="6"/>
        <v>15</v>
      </c>
      <c r="B26" s="354" t="s">
        <v>161</v>
      </c>
      <c r="C26" s="355">
        <f t="shared" si="3"/>
        <v>5653</v>
      </c>
      <c r="D26" s="355"/>
      <c r="E26" s="355">
        <v>930</v>
      </c>
      <c r="F26" s="355"/>
      <c r="G26" s="355"/>
      <c r="H26" s="355">
        <f t="shared" si="4"/>
        <v>4723</v>
      </c>
      <c r="I26" s="355"/>
      <c r="J26" s="355">
        <v>4723</v>
      </c>
      <c r="K26" s="355">
        <f t="shared" si="5"/>
        <v>0</v>
      </c>
      <c r="L26" s="355"/>
      <c r="M26" s="355"/>
      <c r="N26" s="356"/>
    </row>
    <row r="27" spans="1:14" ht="18.75" customHeight="1">
      <c r="A27" s="268">
        <f t="shared" si="6"/>
        <v>16</v>
      </c>
      <c r="B27" s="354" t="s">
        <v>362</v>
      </c>
      <c r="C27" s="355">
        <f t="shared" si="3"/>
        <v>926</v>
      </c>
      <c r="D27" s="355"/>
      <c r="E27" s="355">
        <v>926</v>
      </c>
      <c r="F27" s="355"/>
      <c r="G27" s="355"/>
      <c r="H27" s="355">
        <f t="shared" si="4"/>
        <v>0</v>
      </c>
      <c r="I27" s="355"/>
      <c r="J27" s="355"/>
      <c r="K27" s="355">
        <f t="shared" si="5"/>
        <v>0</v>
      </c>
      <c r="L27" s="355"/>
      <c r="M27" s="355"/>
      <c r="N27" s="356"/>
    </row>
    <row r="28" spans="1:14" ht="18.75" customHeight="1">
      <c r="A28" s="268">
        <f t="shared" si="6"/>
        <v>17</v>
      </c>
      <c r="B28" s="354" t="s">
        <v>234</v>
      </c>
      <c r="C28" s="355">
        <f t="shared" si="3"/>
        <v>20585</v>
      </c>
      <c r="D28" s="355"/>
      <c r="E28" s="355">
        <v>4461</v>
      </c>
      <c r="F28" s="355"/>
      <c r="G28" s="355"/>
      <c r="H28" s="355">
        <f t="shared" si="4"/>
        <v>16124</v>
      </c>
      <c r="I28" s="355"/>
      <c r="J28" s="355">
        <v>16124</v>
      </c>
      <c r="K28" s="355">
        <f t="shared" si="5"/>
        <v>0</v>
      </c>
      <c r="L28" s="355"/>
      <c r="M28" s="355"/>
      <c r="N28" s="356"/>
    </row>
    <row r="29" spans="1:14" ht="18.75" customHeight="1">
      <c r="A29" s="268">
        <f t="shared" si="6"/>
        <v>18</v>
      </c>
      <c r="B29" s="354" t="s">
        <v>239</v>
      </c>
      <c r="C29" s="355">
        <f t="shared" si="3"/>
        <v>6784</v>
      </c>
      <c r="D29" s="355"/>
      <c r="E29" s="355">
        <v>6784</v>
      </c>
      <c r="F29" s="355"/>
      <c r="G29" s="355"/>
      <c r="H29" s="355">
        <f t="shared" si="4"/>
        <v>0</v>
      </c>
      <c r="I29" s="355"/>
      <c r="J29" s="355"/>
      <c r="K29" s="355">
        <f t="shared" si="5"/>
        <v>0</v>
      </c>
      <c r="L29" s="355"/>
      <c r="M29" s="355"/>
      <c r="N29" s="356"/>
    </row>
    <row r="30" spans="1:14" ht="18.75" customHeight="1">
      <c r="A30" s="268">
        <f t="shared" si="6"/>
        <v>19</v>
      </c>
      <c r="B30" s="354" t="s">
        <v>240</v>
      </c>
      <c r="C30" s="355">
        <f t="shared" si="3"/>
        <v>785</v>
      </c>
      <c r="D30" s="355"/>
      <c r="E30" s="355">
        <v>785</v>
      </c>
      <c r="F30" s="355"/>
      <c r="G30" s="355"/>
      <c r="H30" s="355">
        <f t="shared" si="4"/>
        <v>0</v>
      </c>
      <c r="I30" s="355"/>
      <c r="J30" s="355"/>
      <c r="K30" s="355">
        <f t="shared" si="5"/>
        <v>0</v>
      </c>
      <c r="L30" s="355"/>
      <c r="M30" s="355"/>
      <c r="N30" s="356"/>
    </row>
    <row r="31" spans="1:14" ht="18.75" customHeight="1">
      <c r="A31" s="268">
        <f t="shared" si="6"/>
        <v>20</v>
      </c>
      <c r="B31" s="354" t="s">
        <v>241</v>
      </c>
      <c r="C31" s="355">
        <f t="shared" si="3"/>
        <v>5006</v>
      </c>
      <c r="D31" s="355"/>
      <c r="E31" s="355">
        <v>5006</v>
      </c>
      <c r="F31" s="355"/>
      <c r="G31" s="355"/>
      <c r="H31" s="355">
        <f t="shared" si="4"/>
        <v>0</v>
      </c>
      <c r="I31" s="355"/>
      <c r="J31" s="355"/>
      <c r="K31" s="355">
        <f t="shared" si="5"/>
        <v>0</v>
      </c>
      <c r="L31" s="355"/>
      <c r="M31" s="355"/>
      <c r="N31" s="356"/>
    </row>
    <row r="32" spans="1:14" ht="18.75" customHeight="1">
      <c r="A32" s="268">
        <f t="shared" si="6"/>
        <v>21</v>
      </c>
      <c r="B32" s="354" t="s">
        <v>176</v>
      </c>
      <c r="C32" s="355">
        <f t="shared" si="3"/>
        <v>149</v>
      </c>
      <c r="D32" s="355"/>
      <c r="E32" s="355">
        <v>149</v>
      </c>
      <c r="F32" s="355"/>
      <c r="G32" s="355"/>
      <c r="H32" s="355">
        <f t="shared" si="4"/>
        <v>0</v>
      </c>
      <c r="I32" s="355"/>
      <c r="J32" s="355"/>
      <c r="K32" s="355">
        <f t="shared" si="5"/>
        <v>0</v>
      </c>
      <c r="L32" s="355"/>
      <c r="M32" s="355"/>
      <c r="N32" s="356"/>
    </row>
    <row r="33" spans="1:14" s="353" customFormat="1" ht="18.75" customHeight="1">
      <c r="A33" s="268">
        <f t="shared" si="6"/>
        <v>22</v>
      </c>
      <c r="B33" s="354" t="s">
        <v>177</v>
      </c>
      <c r="C33" s="355">
        <f t="shared" si="3"/>
        <v>1460</v>
      </c>
      <c r="D33" s="355"/>
      <c r="E33" s="355">
        <v>1432</v>
      </c>
      <c r="F33" s="355"/>
      <c r="G33" s="355"/>
      <c r="H33" s="355">
        <f t="shared" si="4"/>
        <v>0</v>
      </c>
      <c r="I33" s="355"/>
      <c r="J33" s="355"/>
      <c r="K33" s="355">
        <f t="shared" si="5"/>
        <v>28</v>
      </c>
      <c r="L33" s="355"/>
      <c r="M33" s="355">
        <v>28</v>
      </c>
      <c r="N33" s="356"/>
    </row>
    <row r="34" spans="1:14" s="353" customFormat="1" ht="18.75" customHeight="1">
      <c r="A34" s="268">
        <f t="shared" si="6"/>
        <v>23</v>
      </c>
      <c r="B34" s="354" t="s">
        <v>178</v>
      </c>
      <c r="C34" s="355">
        <f t="shared" si="3"/>
        <v>4854</v>
      </c>
      <c r="D34" s="355"/>
      <c r="E34" s="355">
        <v>4854</v>
      </c>
      <c r="F34" s="355"/>
      <c r="G34" s="355"/>
      <c r="H34" s="355">
        <f t="shared" si="4"/>
        <v>0</v>
      </c>
      <c r="I34" s="355"/>
      <c r="J34" s="355"/>
      <c r="K34" s="355">
        <f t="shared" si="5"/>
        <v>0</v>
      </c>
      <c r="L34" s="355"/>
      <c r="M34" s="355"/>
      <c r="N34" s="356"/>
    </row>
    <row r="35" spans="1:14" s="353" customFormat="1" ht="18.75" customHeight="1">
      <c r="A35" s="268">
        <f t="shared" si="6"/>
        <v>24</v>
      </c>
      <c r="B35" s="354" t="s">
        <v>179</v>
      </c>
      <c r="C35" s="355">
        <f t="shared" si="3"/>
        <v>139992</v>
      </c>
      <c r="D35" s="355">
        <v>34168</v>
      </c>
      <c r="E35" s="355">
        <v>15914</v>
      </c>
      <c r="F35" s="355"/>
      <c r="G35" s="355"/>
      <c r="H35" s="355">
        <f t="shared" si="4"/>
        <v>89910</v>
      </c>
      <c r="I35" s="355">
        <v>83500</v>
      </c>
      <c r="J35" s="355">
        <v>6410</v>
      </c>
      <c r="K35" s="355">
        <f t="shared" si="5"/>
        <v>0</v>
      </c>
      <c r="L35" s="355"/>
      <c r="M35" s="355"/>
      <c r="N35" s="356"/>
    </row>
    <row r="36" spans="1:14" s="353" customFormat="1" ht="18.75" customHeight="1">
      <c r="A36" s="268">
        <f t="shared" si="6"/>
        <v>25</v>
      </c>
      <c r="B36" s="354" t="s">
        <v>180</v>
      </c>
      <c r="C36" s="355">
        <f t="shared" si="3"/>
        <v>18140</v>
      </c>
      <c r="D36" s="355"/>
      <c r="E36" s="355">
        <v>18140</v>
      </c>
      <c r="F36" s="355"/>
      <c r="G36" s="355"/>
      <c r="H36" s="355">
        <f>I36+J36</f>
        <v>0</v>
      </c>
      <c r="I36" s="355"/>
      <c r="J36" s="355"/>
      <c r="K36" s="355">
        <f t="shared" si="5"/>
        <v>0</v>
      </c>
      <c r="L36" s="355"/>
      <c r="M36" s="355"/>
      <c r="N36" s="356"/>
    </row>
    <row r="37" spans="1:14" s="353" customFormat="1" ht="18.75" customHeight="1">
      <c r="A37" s="348" t="s">
        <v>22</v>
      </c>
      <c r="B37" s="349" t="s">
        <v>129</v>
      </c>
      <c r="C37" s="350">
        <f t="shared" si="3"/>
        <v>12835</v>
      </c>
      <c r="D37" s="350"/>
      <c r="E37" s="350"/>
      <c r="F37" s="350">
        <v>12835</v>
      </c>
      <c r="G37" s="350"/>
      <c r="H37" s="350">
        <f t="shared" si="4"/>
        <v>0</v>
      </c>
      <c r="I37" s="350"/>
      <c r="J37" s="350"/>
      <c r="K37" s="350">
        <f t="shared" si="5"/>
        <v>0</v>
      </c>
      <c r="L37" s="350"/>
      <c r="M37" s="350"/>
      <c r="N37" s="352"/>
    </row>
    <row r="38" spans="1:14" s="353" customFormat="1" ht="18.75" customHeight="1">
      <c r="A38" s="348"/>
      <c r="B38" s="349" t="s">
        <v>130</v>
      </c>
      <c r="C38" s="350">
        <f>SUM(D38:H38)+K38+N38</f>
        <v>0</v>
      </c>
      <c r="D38" s="350"/>
      <c r="E38" s="350"/>
      <c r="F38" s="350"/>
      <c r="G38" s="350"/>
      <c r="H38" s="350">
        <f t="shared" si="4"/>
        <v>0</v>
      </c>
      <c r="I38" s="350"/>
      <c r="J38" s="350"/>
      <c r="K38" s="350">
        <f t="shared" si="5"/>
        <v>0</v>
      </c>
      <c r="L38" s="350"/>
      <c r="M38" s="350"/>
      <c r="N38" s="352"/>
    </row>
    <row r="39" spans="1:14" ht="18.75" customHeight="1" thickBot="1">
      <c r="A39" s="464" t="s">
        <v>23</v>
      </c>
      <c r="B39" s="465" t="s">
        <v>193</v>
      </c>
      <c r="C39" s="466">
        <f>SUM(D39:H39)+K39+N39</f>
        <v>147721</v>
      </c>
      <c r="D39" s="466">
        <v>2700</v>
      </c>
      <c r="E39" s="466">
        <v>88312</v>
      </c>
      <c r="F39" s="466">
        <v>1859</v>
      </c>
      <c r="G39" s="467"/>
      <c r="H39" s="466">
        <f>I39+J39</f>
        <v>51645</v>
      </c>
      <c r="I39" s="466"/>
      <c r="J39" s="466">
        <v>51645</v>
      </c>
      <c r="K39" s="466">
        <f t="shared" si="5"/>
        <v>3205</v>
      </c>
      <c r="L39" s="466"/>
      <c r="M39" s="466">
        <v>3205</v>
      </c>
      <c r="N39" s="356"/>
    </row>
    <row r="40" spans="1:14" ht="23.25" customHeight="1" hidden="1">
      <c r="A40" s="460"/>
      <c r="B40" s="461" t="s">
        <v>124</v>
      </c>
      <c r="C40" s="462">
        <f t="shared" si="3"/>
        <v>0</v>
      </c>
      <c r="D40" s="463"/>
      <c r="E40" s="463"/>
      <c r="F40" s="463"/>
      <c r="G40" s="463"/>
      <c r="H40" s="462">
        <f t="shared" si="4"/>
        <v>0</v>
      </c>
      <c r="I40" s="463"/>
      <c r="J40" s="463"/>
      <c r="K40" s="462">
        <f t="shared" si="5"/>
        <v>0</v>
      </c>
      <c r="L40" s="463"/>
      <c r="M40" s="463"/>
      <c r="N40" s="356"/>
    </row>
    <row r="41" ht="15.75" thickTop="1"/>
    <row r="42" ht="22.5" customHeight="1">
      <c r="D42" s="357"/>
    </row>
  </sheetData>
  <sheetProtection/>
  <mergeCells count="16">
    <mergeCell ref="N5:N8"/>
    <mergeCell ref="H6:H8"/>
    <mergeCell ref="I6:I8"/>
    <mergeCell ref="J6:J8"/>
    <mergeCell ref="K6:K8"/>
    <mergeCell ref="L6:L8"/>
    <mergeCell ref="M6:M8"/>
    <mergeCell ref="G5:G8"/>
    <mergeCell ref="H5:J5"/>
    <mergeCell ref="K5:M5"/>
    <mergeCell ref="A5:A8"/>
    <mergeCell ref="B5:B8"/>
    <mergeCell ref="C5:C8"/>
    <mergeCell ref="D5:D8"/>
    <mergeCell ref="E5:E8"/>
    <mergeCell ref="F5:F8"/>
  </mergeCells>
  <printOptions/>
  <pageMargins left="0.38" right="0.21"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Admin</cp:lastModifiedBy>
  <cp:lastPrinted>2022-12-13T01:48:01Z</cp:lastPrinted>
  <dcterms:created xsi:type="dcterms:W3CDTF">2001-01-04T01:21:32Z</dcterms:created>
  <dcterms:modified xsi:type="dcterms:W3CDTF">2022-12-13T01:48:05Z</dcterms:modified>
  <cp:category/>
  <cp:version/>
  <cp:contentType/>
  <cp:contentStatus/>
</cp:coreProperties>
</file>