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11760" activeTab="0"/>
  </bookViews>
  <sheets>
    <sheet name="TH - GN" sheetId="1" r:id="rId1"/>
    <sheet name="1a - GNBV 2022" sheetId="2" r:id="rId2"/>
    <sheet name="1b - Tỷ lệ đối ứng " sheetId="3" r:id="rId3"/>
    <sheet name="Biểu 1c - GD và KTHT" sheetId="4" r:id="rId4"/>
    <sheet name="1d - Tiêu chí phân bổ GNBV" sheetId="5" r:id="rId5"/>
    <sheet name="B" sheetId="6" state="hidden" r:id="rId6"/>
  </sheets>
  <externalReferences>
    <externalReference r:id="rId9"/>
  </externalReferences>
  <definedNames>
    <definedName name="_xlnm.Print_Area" localSheetId="2">'1b - Tỷ lệ đối ứng '!$A$1:$F$70</definedName>
    <definedName name="_xlnm.Print_Area" localSheetId="5">'B'!$A$1:$F$69</definedName>
    <definedName name="_xlnm.Print_Titles" localSheetId="1">'1a - GNBV 2022'!$7:$9</definedName>
    <definedName name="_xlnm.Print_Titles" localSheetId="2">'1b - Tỷ lệ đối ứng '!$6:$9</definedName>
    <definedName name="_xlnm.Print_Titles" localSheetId="5">'B'!$6:$8</definedName>
    <definedName name="_xlnm.Print_Titles" localSheetId="3">'Biểu 1c - GD và KTHT'!$5:$8</definedName>
    <definedName name="_xlnm.Print_Titles" localSheetId="0">'TH - GN'!$6:$9</definedName>
  </definedNames>
  <calcPr fullCalcOnLoad="1"/>
</workbook>
</file>

<file path=xl/sharedStrings.xml><?xml version="1.0" encoding="utf-8"?>
<sst xmlns="http://schemas.openxmlformats.org/spreadsheetml/2006/main" count="561" uniqueCount="190">
  <si>
    <t>A</t>
  </si>
  <si>
    <t>B</t>
  </si>
  <si>
    <t>Tổng số</t>
  </si>
  <si>
    <t>Ghi chú</t>
  </si>
  <si>
    <t>C</t>
  </si>
  <si>
    <t>Dự án 1: Hỗ trợ đầu tư phát triển hạ tầng kinh tế - xã hội các huyện nghèo</t>
  </si>
  <si>
    <t>Dự án 3: Hỗ trợ phát triển sản xuất, cải thiện dinh dưỡng</t>
  </si>
  <si>
    <t>Dự án 4: Phát triển giáo dục nghề nghiệp, việc làm bền vững</t>
  </si>
  <si>
    <t>Dự án 6: Truyền thông và giảm nghèo về thông tin</t>
  </si>
  <si>
    <t>Tiểu dự án 1: Giảm nghèo về thông tin</t>
  </si>
  <si>
    <t>Tiểu dự án 2: Truyền thông về giảm nghèo đa chiều</t>
  </si>
  <si>
    <t>Dự án 7: Nâng cao năng lực và giám sát, đánh giá Chương trình</t>
  </si>
  <si>
    <t>Tiểu dự án 1: Nâng cao năng lực thực hiện Chương trình</t>
  </si>
  <si>
    <t>Tiểu dự án 2: Giám sát, đánh giá</t>
  </si>
  <si>
    <t>Đơn vị tính: Triệu đồng</t>
  </si>
  <si>
    <t>Nội dung</t>
  </si>
  <si>
    <t>Tổng cộng</t>
  </si>
  <si>
    <t>Tiểu dự án 1: Hỗ trợ phát triển sản xuất trong lĩnh vực nông nghiệp</t>
  </si>
  <si>
    <t>Tiểu dự án 1: Hỗ trợ đầu tư phát triển hạ tầng kinh tế - xã hội các huyện nghèo</t>
  </si>
  <si>
    <t>CHI TIẾT PHÂN BỔ KINH PHÍ SỰ NGHIỆP CHƯƠNG TRÌNH MỤC TIÊU QUỐC GIA GIẢM NGHÈO BỀN VỮNG, NĂM 2022</t>
  </si>
  <si>
    <t>Hỗ trợ địa phương đào tạo nghề cho người lao động</t>
  </si>
  <si>
    <t>7=8+11+12</t>
  </si>
  <si>
    <t>8=9+10</t>
  </si>
  <si>
    <t>13=14+15</t>
  </si>
  <si>
    <t>16=17+18</t>
  </si>
  <si>
    <t>Hỗ trợ cơ quan quản lý và các cơ sở giáo dục nghề nghiệp công lập</t>
  </si>
  <si>
    <t>STT</t>
  </si>
  <si>
    <t>Phòng Lao động TB&amp;XH huyện</t>
  </si>
  <si>
    <t>Trung tâm GDNN-GDTX huyện</t>
  </si>
  <si>
    <t>1 = 2+4+5+7+13+16</t>
  </si>
  <si>
    <t>2 = 3</t>
  </si>
  <si>
    <t>5 = 6</t>
  </si>
  <si>
    <t>Trong đó (SN kinh tế)</t>
  </si>
  <si>
    <t>Tiểu dự án 2: Hỗ trợ người lao động đi làm việc ở nước ngoài theo hợp đồng (SN kinh tế)</t>
  </si>
  <si>
    <t>Tiểu dự án 3: Hỗ trợ việc làm bền vững (SN kinh tế)</t>
  </si>
  <si>
    <t>Tiểu dự án 1: Phát triển giáo dục nghề nghiệp vùng nghèo, vùng khó khăn (SN giáo dục)</t>
  </si>
  <si>
    <t>Dự án 2: Đa dạng hoá sinh kế, phát triển mô hình giảm nghèo (SN kinh tế)</t>
  </si>
  <si>
    <t>Trong đó (SN giáo dục)</t>
  </si>
  <si>
    <t>Trong đó (SN văn hoá - thông tin)</t>
  </si>
  <si>
    <t>I</t>
  </si>
  <si>
    <t>Cấp huyện</t>
  </si>
  <si>
    <t>II</t>
  </si>
  <si>
    <t>Cấp xã</t>
  </si>
  <si>
    <t>TỔNG CỘNG (I+II):</t>
  </si>
  <si>
    <t>Phòng Văn hóa - TT huyện</t>
  </si>
  <si>
    <t>Tên xã</t>
  </si>
  <si>
    <t>Tổng hệ số đủ 5 nhóm</t>
  </si>
  <si>
    <t>Dự án 3 - Tiểu dự án 1: Hỗ trợ phát triển sản xuất trong lĩnh vực nông nghiệp</t>
  </si>
  <si>
    <t xml:space="preserve">TC1: Tổng tỷ lệ hộ nghèo và hộ cận nghèo </t>
  </si>
  <si>
    <t>TC2: Tổng số hộ nghèo, hộ cận nghèo</t>
  </si>
  <si>
    <t>TC3: Số bản đặc biệt khó khăn</t>
  </si>
  <si>
    <t>Tỷ lệ hộ nghèo (%)</t>
  </si>
  <si>
    <t>Hệ số</t>
  </si>
  <si>
    <t>Tỷ lệ cận nghèo (%)</t>
  </si>
  <si>
    <t>Số hộ nghèo (hộ)</t>
  </si>
  <si>
    <t>Quy mô hộ nghèo (số hộ)</t>
  </si>
  <si>
    <t>Số bản</t>
  </si>
  <si>
    <t xml:space="preserve">Hệ số </t>
  </si>
  <si>
    <t>TIÊU CHÍ PHÂN BỔ CHI TIẾT VỐN SỰ NGHIỆP CHƯƠNG TRÌNH MTQG GIẢM NGHÈO BỀN VỮNG, NĂM 2022</t>
  </si>
  <si>
    <t>Đơn vị tính: Đồng</t>
  </si>
  <si>
    <t>TỔNG CỘNG:</t>
  </si>
  <si>
    <t>Tiêu chí phân bổ</t>
  </si>
  <si>
    <t>Xã</t>
  </si>
  <si>
    <t>TC4: Xã thoát đặc biệt khó khăn</t>
  </si>
  <si>
    <t>Tiêu chí 3: Số bản đặc biệt khó khăn</t>
  </si>
  <si>
    <t>Tiêu chí 1: Tổng tỷ lệ hộ nghèo và hộ cận nghèo</t>
  </si>
  <si>
    <t xml:space="preserve"> - Dưới 10%: Hệ số 0,3</t>
  </si>
  <si>
    <t xml:space="preserve"> - Từ 10% đến dưới 30%: Hệ số 0,5</t>
  </si>
  <si>
    <t xml:space="preserve"> - Từ 30% đến dưới 60%: Hệ số 0,6</t>
  </si>
  <si>
    <t xml:space="preserve"> - Từ 60% trở lên: Hệ số 0,7</t>
  </si>
  <si>
    <t>Tiêu chí 2: Tổng số hộ nghèo và hộ cận nghèo</t>
  </si>
  <si>
    <t xml:space="preserve"> - Dưới 100 hộ: Hệ số 0,3</t>
  </si>
  <si>
    <t xml:space="preserve"> - Từ 100 đến dưới 200 hộ: Hệ số 0,45</t>
  </si>
  <si>
    <t xml:space="preserve"> - Từ 200 đến dưới 400 hộ: Hệ số 0,5</t>
  </si>
  <si>
    <t xml:space="preserve"> - Từ 400 đến dưới 600 hộ: Hệ số 0,6</t>
  </si>
  <si>
    <t xml:space="preserve"> - Từ 600 đến dưới 800 hộ: Hệ số 0,7</t>
  </si>
  <si>
    <t xml:space="preserve"> - Dưới 5 bản: Hệ số 1,0</t>
  </si>
  <si>
    <t xml:space="preserve"> - Từ 5 đến 10 bản: Hệ số 1,15</t>
  </si>
  <si>
    <t xml:space="preserve"> - Từ 10 đến 15 bản: Hệ số 1,3</t>
  </si>
  <si>
    <t xml:space="preserve"> - Từ 15 đến 30 bản: Hệ số 1,5</t>
  </si>
  <si>
    <t>Tiêu chí 4: Xã thoát đặc biệt khó khăn</t>
  </si>
  <si>
    <t xml:space="preserve"> - Xã thoát đặc biệt khó khăn: Hệ số 0,3</t>
  </si>
  <si>
    <t>1.1</t>
  </si>
  <si>
    <t>Dự án 2: Đa dạng hóa sinh kế, phát triển mô hình giảm nghèo</t>
  </si>
  <si>
    <t>4.1</t>
  </si>
  <si>
    <t>Tiểu dự án 1: Phát triển giáo dục nghề nghiệp vùng nghèo, vùng khó khăn (nguồn sự nghiệp)</t>
  </si>
  <si>
    <t>Hỗ trợ cơ quan quản lý và các cơ sở GDNN</t>
  </si>
  <si>
    <t>Hỗ trợ cơ quan quản lý</t>
  </si>
  <si>
    <t>Hỗ trợ các cơ sở GDNN</t>
  </si>
  <si>
    <t>4.2</t>
  </si>
  <si>
    <t>Tiểu dự án 2: Hỗ trợ người lao động đi làm việc ở nước ngoài theo hợp đồng</t>
  </si>
  <si>
    <t>4.3</t>
  </si>
  <si>
    <t>Tiểu dự án 3: Hỗ trợ việc làm bền vững (nguồn sự nghiệp)</t>
  </si>
  <si>
    <t>6.1</t>
  </si>
  <si>
    <t>6.2</t>
  </si>
  <si>
    <t>Trong đó:</t>
  </si>
  <si>
    <t>Biểu số 1a</t>
  </si>
  <si>
    <t>BIỂU CHI TIẾT PHÂN BỔ KINH PHÍ SỰ NGHIỆP</t>
  </si>
  <si>
    <t xml:space="preserve">CHƯƠNG TRÌNH MỤC TIÊU QUỐC GIA GIẢM NGHÈO BỀN VỮNG NĂM 2022 TRÊN ĐỊA BÀN HUYỆN    </t>
  </si>
  <si>
    <t>Số tiền</t>
  </si>
  <si>
    <t>-</t>
  </si>
  <si>
    <t>3.1</t>
  </si>
  <si>
    <t>+</t>
  </si>
  <si>
    <t>Phòng LĐTB&amp;XH huyện thực hiện</t>
  </si>
  <si>
    <t>Phòng Lao động TB&amp;XH huyện thực hiện</t>
  </si>
  <si>
    <t>Trung tâm GDNN-GDTX huyện thực hiện</t>
  </si>
  <si>
    <t>Phòng Nông nghiệp và PTNT huyện theo dõi; UBND các xã, thị trấn thực hiện</t>
  </si>
  <si>
    <t>Phòng Văn hóa - TT huyện thực hiện</t>
  </si>
  <si>
    <t>5.1</t>
  </si>
  <si>
    <t>5.2</t>
  </si>
  <si>
    <t>Vốn NSTW phân bổ</t>
  </si>
  <si>
    <t>(Kèm theo Tờ trình số: 43/TTr-TCKH ngày 05/8/2022 của phòng Tài chính - Kế hoạch huyện Mường Ảng)</t>
  </si>
  <si>
    <t>Biểu số 01</t>
  </si>
  <si>
    <t>Đơn vị đầu mối, chủ trì, thực hiện,…</t>
  </si>
  <si>
    <t>Phòng Nông nghiệp và PTNT theo dõi đa dạng hóa sinh kế; Trung tâm DVNN huyện theo dõi nhân rộng mô hình giảm nghèo; UBND các xã, thị trấn thực hiện</t>
  </si>
  <si>
    <t>Theo khoản 7 Điều 16 Thông tư số 46/2022/TT-BTC ngày 28/7/2022 của Bộ Tài chính</t>
  </si>
  <si>
    <t>Theo Điều 16 Thông tư số 46/2022/TT-BTC ngày 28/7/2022 của Bộ Tài chính</t>
  </si>
  <si>
    <t>Theo Điều 21 Thông tư số 46/2022/TT-BTC ngày 28/7/2022 của Bộ Tài chính</t>
  </si>
  <si>
    <t>Theo Điều 22 Thông tư số 46/2022/TT-BTC ngày 28/7/2022 của Bộ Tài chính</t>
  </si>
  <si>
    <t>Theo Điều 23 Thông tư số 46/2022/TT-BTC ngày 28/7/2022 của Bộ Tài chính</t>
  </si>
  <si>
    <t>Theo Điều 24 Thông tư số 46/2022/TT-BTC ngày 28/7/2022 của Bộ Tài chính</t>
  </si>
  <si>
    <t>Thực hiện hỗ trợ việc làm bền vững theo Điều 16 Thông tư số 46/2022/TT-BTC ngày 28/7/2022 của BTC; chi hỗ trợ kết nối việc làm thành công (giới thiệu việc làm cho người lao động theo khản 2, Điều 29 TT số 15/2022/TT-BTC ngày 04/3/2022 của BTC)</t>
  </si>
  <si>
    <t>Phòng Giáo dục và Đào tạo huyện</t>
  </si>
  <si>
    <t>Nguyên tắc, tiêu chí, định mức phân bổ nguồn vốn</t>
  </si>
  <si>
    <t>Quy định quản lý, sử dụng và quyết toán nguồn kinh phí sự nghiệp từ nguồn ngân sách trung ương</t>
  </si>
  <si>
    <t>Dự án 1: Hỗ trợ đầu tư phát triển hạ tầng kinh tế - xã hội các huyện nghèo, các xã ĐBKK vùng bãi ngang, ven biển và hải đảo</t>
  </si>
  <si>
    <t>Tiểu dự án 1: Hỗ trợ đầu tư phát triển hạ tầng kinh tế - xã hội các huyện nghèo, xã ĐBKK vùng bãi ngang, ven biển và hải đảo</t>
  </si>
  <si>
    <t>Chủ đầu tư/tên công trình</t>
  </si>
  <si>
    <t>Nội dung công việc duy tu, sửa chữa</t>
  </si>
  <si>
    <t>Tổng cộng các nguồn vốn</t>
  </si>
  <si>
    <t>Trong đó</t>
  </si>
  <si>
    <t>Vốn sự nghiệp kinh tế thuộc CT MTQG giảm nghèo bền vững năm 2022</t>
  </si>
  <si>
    <t>Vốn đối ứng NS huyện năm 2022</t>
  </si>
  <si>
    <t>Phòng Giáo dục và Đào tạo</t>
  </si>
  <si>
    <t>Phòng Kinh tế và Hạ tầng</t>
  </si>
  <si>
    <t>BIỂU TỔNG HỢP PHÂN BỔ KINH PHÍ SỰ NGHIỆP</t>
  </si>
  <si>
    <t xml:space="preserve">Phòng Lao động TB&amp;XH huyện theo dõi, tổng hợp chung </t>
  </si>
  <si>
    <t>Biểu số 01b</t>
  </si>
  <si>
    <t>Biểu số: 01d/CT MTQG GNBV-SN</t>
  </si>
  <si>
    <t>(Kèm theo Tờ trình số:                /TTr-UBND ngày             /8/2022 của UBND huyện Mường Ảng)</t>
  </si>
  <si>
    <t>Tổng mức đầu tư dự kiến</t>
  </si>
  <si>
    <t>Kế hoạch vốn dự kiến phân bổ năm 2022</t>
  </si>
  <si>
    <t>2= 3+4</t>
  </si>
  <si>
    <t>DANH MỤC DUY TU, SỬA CHỮA - DỰ ÁN 1 - TIỂU DỰ ÁN 1 - CHƯƠNG TRÌNH MTQG GIẢM NGHÈO BỀN VỮNG, NĂM 2022</t>
  </si>
  <si>
    <r>
      <t>Ghi chú:</t>
    </r>
    <r>
      <rPr>
        <sz val="14"/>
        <color indexed="8"/>
        <rFont val="Times New Roman"/>
        <family val="1"/>
      </rPr>
      <t xml:space="preserve"> Chỉ phân bổ chi tiết kế hoạch vốn khi có đủ các điều kiện theo quy định tại Điều 5 của Thông tư số 65/2021/TT-BTC ngày 29/7/2021 của Bộ Tài chính
Quy định về lập dự toán, quản lý, sử dụng và quyết toán kinh phí bảo dưỡng, sửa chữa tài sản công.</t>
    </r>
  </si>
  <si>
    <t>Phòng Kinh tế và Hạ tầng huyện</t>
  </si>
  <si>
    <t>Biểu số 01a, 01b</t>
  </si>
  <si>
    <t>Biểu số 01c</t>
  </si>
  <si>
    <r>
      <t xml:space="preserve">Vốn đối ứng ngân sách huyện </t>
    </r>
    <r>
      <rPr>
        <sz val="12"/>
        <color indexed="8"/>
        <rFont val="Times New Roman"/>
        <family val="1"/>
      </rPr>
      <t>(Tỷ lệ bằng 3% tổng nguồn vốn NSTW)</t>
    </r>
  </si>
  <si>
    <t>Thị trấn Tuần Giáo</t>
  </si>
  <si>
    <t>Xã Phình Sáng</t>
  </si>
  <si>
    <t>Xã Rạng Đông</t>
  </si>
  <si>
    <t>Xã Ta Ma</t>
  </si>
  <si>
    <t>Xã Pú Nhung</t>
  </si>
  <si>
    <t>Xã Quài Nưa</t>
  </si>
  <si>
    <t>Xã Quài Tở</t>
  </si>
  <si>
    <t>Xã Quài Cang</t>
  </si>
  <si>
    <t>Xã Pú Xi</t>
  </si>
  <si>
    <t>Xã Tỏa Tình</t>
  </si>
  <si>
    <t>Xã Tênh Phông</t>
  </si>
  <si>
    <t>Xã Chiềng Sinh</t>
  </si>
  <si>
    <t>Xã Chiềng Đông</t>
  </si>
  <si>
    <t>Xã Nà Tòng</t>
  </si>
  <si>
    <t>Xã Mùn Chung</t>
  </si>
  <si>
    <t>Xã Mường Khong</t>
  </si>
  <si>
    <t>Xã Nà Sáy</t>
  </si>
  <si>
    <t>Xã Mường Thín</t>
  </si>
  <si>
    <t>Xã Mường Mùn</t>
  </si>
  <si>
    <t>Theo QĐ 1238</t>
  </si>
  <si>
    <t>Vốn đối ứng ngân sách huyện (Tỷ lệ bằng 3% tổng nguồn vốn NSTW)</t>
  </si>
  <si>
    <t>(Kèm theo Tờ trình số:                /TTr-UBND ngày             /8/2022 của UBND huyện Tuần Giáo)</t>
  </si>
  <si>
    <t>Thị trấn Tuần Giáo</t>
  </si>
  <si>
    <r>
      <t>Dự án 2: Đa dạng hóa sinh kế, phát triển mô hình giảm nghèo</t>
    </r>
    <r>
      <rPr>
        <sz val="14"/>
        <color indexed="8"/>
        <rFont val="Times New Roman"/>
        <family val="1"/>
      </rPr>
      <t xml:space="preserve">
Đơn giá bình quân 1 hệ số: </t>
    </r>
    <r>
      <rPr>
        <b/>
        <sz val="14"/>
        <color indexed="8"/>
        <rFont val="Times New Roman"/>
        <family val="1"/>
      </rPr>
      <t>73.846.153 đồng/hệ số</t>
    </r>
  </si>
  <si>
    <r>
      <t>Dự án 3: Hỗ trợ phát triển sản xuất, cải thiện dinh dưỡng</t>
    </r>
    <r>
      <rPr>
        <sz val="14"/>
        <color indexed="8"/>
        <rFont val="Times New Roman"/>
        <family val="1"/>
      </rPr>
      <t xml:space="preserve">
Đơn giá bình quân 1 hệ số: </t>
    </r>
    <r>
      <rPr>
        <b/>
        <sz val="14"/>
        <color indexed="8"/>
        <rFont val="Times New Roman"/>
        <family val="1"/>
      </rPr>
      <t>31.304.348 đồng/hệ số</t>
    </r>
  </si>
  <si>
    <t>Các dự án do PGD đề xuất</t>
  </si>
  <si>
    <t>Các dự án do PKTHT đề xuất</t>
  </si>
  <si>
    <r>
      <t xml:space="preserve">Vốn đối ứng ngân sách huyện </t>
    </r>
    <r>
      <rPr>
        <sz val="11"/>
        <color indexed="8"/>
        <rFont val="Times New Roman"/>
        <family val="1"/>
      </rPr>
      <t>(Tỷ lệ bằng 3% tổng nguồn vốn NSTW)</t>
    </r>
  </si>
  <si>
    <t>Biểu số 01a, 01b, 01d</t>
  </si>
  <si>
    <t>Biểu 1d</t>
  </si>
  <si>
    <t>Biểu 1a, 1b</t>
  </si>
  <si>
    <t>Biểu số 01c/CTMTQGGNBV-SN</t>
  </si>
  <si>
    <t>Duy tu, sửa chữa các hạng mục Trường Tiểu học số 1 Quài Nưa</t>
  </si>
  <si>
    <t xml:space="preserve">Sửa chữa nhà đa năng, 02 phòng học, 01 phòng âm nhạc, Sửa chữa nhà vệ sinh khu trung tâm, bản Trá; </t>
  </si>
  <si>
    <t>Duy tu, sửa chữa các hạng mục Trường Mầm non Nà Sáy</t>
  </si>
  <si>
    <t>Sửa chữa 4 phòng học, 01 nhà BGH, Nhà vệ sinh, Nhà bếp, cải tạo sân trường 1000 m2; sửa tường bao 50 m</t>
  </si>
  <si>
    <t>Duy tu, sửa chữa các hạng mụcTrường Mầm non Mường Thín</t>
  </si>
  <si>
    <t>Xây mới tường bao tại 3 điểm bản: Muông Yên, Liếng, Đông Thấp; Sửa chữa phòng lớp học, nhà vệ sinh tại khu trung tâm và 03 điểm bản</t>
  </si>
  <si>
    <t>Duy tu, sửa chữa đường bản Xôm, bản Én Pậu, xã Quài Tở</t>
  </si>
  <si>
    <t xml:space="preserve">Sửa chữa mặt đường bản Én Pậu, sửa chữa mặt đường + rãnh thoát nước một số đoạn đường từ bản Xôm đến bản Én Pậu </t>
  </si>
  <si>
    <t xml:space="preserve">CHƯƠNG TRÌNH MỤC TIÊU QUỐC GIA GIẢM NGHÈO BỀN VỮNG NĂM 2022 TRÊN ĐỊA BÀN HUYỆN TUẦN GIÁO   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</si>
</sst>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-* #,##0.000\ _₫_-;\-* #,##0.000\ _₫_-;_-* &quot;-&quot;???\ _₫_-;_-@_-"/>
    <numFmt numFmtId="175" formatCode="_(* #,##0_);_(* \(#,##0\);_(* &quot;-&quot;???_);_(@_)"/>
    <numFmt numFmtId="176" formatCode="0.0000%"/>
    <numFmt numFmtId="177" formatCode="#,##0.0"/>
  </numFmts>
  <fonts count="11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3"/>
      <color indexed="8"/>
      <name val="Arial"/>
      <family val="2"/>
    </font>
    <font>
      <b/>
      <i/>
      <u val="single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i/>
      <sz val="13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12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i/>
      <sz val="13"/>
      <color indexed="8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CC"/>
      <name val="Times New Roman"/>
      <family val="1"/>
    </font>
    <font>
      <b/>
      <i/>
      <sz val="12"/>
      <color rgb="FF0000CC"/>
      <name val="Times New Roman"/>
      <family val="1"/>
    </font>
    <font>
      <i/>
      <sz val="13"/>
      <color rgb="FF0000CC"/>
      <name val="Times New Roman"/>
      <family val="1"/>
    </font>
    <font>
      <i/>
      <sz val="12"/>
      <color rgb="FF0000CC"/>
      <name val="Times New Roman"/>
      <family val="1"/>
    </font>
    <font>
      <sz val="12"/>
      <color rgb="FF0000CC"/>
      <name val="Times New Roman"/>
      <family val="1"/>
    </font>
    <font>
      <sz val="14"/>
      <color rgb="FF0000CC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7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/>
      <top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28" borderId="2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3" fontId="5" fillId="0" borderId="0" xfId="41" applyFont="1" applyFill="1" applyAlignment="1">
      <alignment horizontal="center" vertical="center" wrapText="1"/>
    </xf>
    <xf numFmtId="43" fontId="5" fillId="0" borderId="0" xfId="0" applyNumberFormat="1" applyFont="1" applyFill="1" applyAlignment="1">
      <alignment horizontal="center" vertical="center" wrapText="1"/>
    </xf>
    <xf numFmtId="172" fontId="5" fillId="0" borderId="0" xfId="41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3" fontId="6" fillId="0" borderId="10" xfId="4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3" fontId="5" fillId="0" borderId="0" xfId="41" applyFont="1" applyFill="1" applyBorder="1" applyAlignment="1">
      <alignment horizontal="center" vertical="center" wrapText="1"/>
    </xf>
    <xf numFmtId="172" fontId="5" fillId="0" borderId="0" xfId="4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43" fontId="5" fillId="33" borderId="0" xfId="0" applyNumberFormat="1" applyFont="1" applyFill="1" applyAlignment="1">
      <alignment horizontal="center" vertical="center" wrapText="1"/>
    </xf>
    <xf numFmtId="172" fontId="5" fillId="33" borderId="0" xfId="41" applyNumberFormat="1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172" fontId="5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3" fontId="4" fillId="0" borderId="10" xfId="41" applyNumberFormat="1" applyFont="1" applyFill="1" applyBorder="1" applyAlignment="1">
      <alignment horizontal="center" vertical="center" wrapText="1"/>
    </xf>
    <xf numFmtId="172" fontId="4" fillId="0" borderId="10" xfId="41" applyNumberFormat="1" applyFont="1" applyFill="1" applyBorder="1" applyAlignment="1">
      <alignment horizontal="center" vertical="center" wrapText="1"/>
    </xf>
    <xf numFmtId="43" fontId="4" fillId="0" borderId="10" xfId="4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 quotePrefix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 quotePrefix="1">
      <alignment vertical="center" wrapText="1"/>
    </xf>
    <xf numFmtId="0" fontId="10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10" fillId="0" borderId="12" xfId="0" applyFont="1" applyFill="1" applyBorder="1" applyAlignment="1" applyProtection="1">
      <alignment vertical="center" wrapText="1"/>
      <protection/>
    </xf>
    <xf numFmtId="0" fontId="8" fillId="0" borderId="0" xfId="0" applyFont="1" applyFill="1" applyAlignment="1" applyProtection="1">
      <alignment horizontal="center" wrapText="1"/>
      <protection/>
    </xf>
    <xf numFmtId="0" fontId="9" fillId="0" borderId="14" xfId="0" applyFont="1" applyFill="1" applyBorder="1" applyAlignment="1" applyProtection="1">
      <alignment wrapText="1"/>
      <protection/>
    </xf>
    <xf numFmtId="0" fontId="9" fillId="0" borderId="14" xfId="0" applyFont="1" applyFill="1" applyBorder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wrapText="1"/>
      <protection/>
    </xf>
    <xf numFmtId="0" fontId="9" fillId="0" borderId="0" xfId="0" applyFont="1" applyFill="1" applyAlignment="1" applyProtection="1">
      <alignment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15" fillId="0" borderId="0" xfId="0" applyNumberFormat="1" applyFont="1" applyAlignment="1">
      <alignment/>
    </xf>
    <xf numFmtId="0" fontId="18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0" fontId="14" fillId="0" borderId="16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vertical="center" wrapText="1"/>
      <protection/>
    </xf>
    <xf numFmtId="0" fontId="5" fillId="0" borderId="17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 applyProtection="1">
      <alignment vertical="center" wrapText="1"/>
      <protection/>
    </xf>
    <xf numFmtId="174" fontId="5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20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quotePrefix="1">
      <alignment vertical="center" wrapText="1"/>
    </xf>
    <xf numFmtId="175" fontId="4" fillId="0" borderId="10" xfId="0" applyNumberFormat="1" applyFont="1" applyFill="1" applyBorder="1" applyAlignment="1" applyProtection="1">
      <alignment horizontal="left" vertical="center" wrapText="1"/>
      <protection/>
    </xf>
    <xf numFmtId="175" fontId="4" fillId="0" borderId="13" xfId="0" applyNumberFormat="1" applyFont="1" applyFill="1" applyBorder="1" applyAlignment="1" applyProtection="1">
      <alignment horizontal="left" vertical="center" wrapText="1"/>
      <protection/>
    </xf>
    <xf numFmtId="175" fontId="5" fillId="0" borderId="13" xfId="0" applyNumberFormat="1" applyFont="1" applyFill="1" applyBorder="1" applyAlignment="1" applyProtection="1">
      <alignment horizontal="left" vertical="center" wrapText="1"/>
      <protection/>
    </xf>
    <xf numFmtId="175" fontId="5" fillId="0" borderId="13" xfId="0" applyNumberFormat="1" applyFont="1" applyFill="1" applyBorder="1" applyAlignment="1" applyProtection="1" quotePrefix="1">
      <alignment horizontal="left" vertical="center" wrapText="1"/>
      <protection/>
    </xf>
    <xf numFmtId="175" fontId="4" fillId="0" borderId="11" xfId="0" applyNumberFormat="1" applyFont="1" applyFill="1" applyBorder="1" applyAlignment="1" applyProtection="1">
      <alignment horizontal="left" vertical="center" wrapText="1"/>
      <protection/>
    </xf>
    <xf numFmtId="175" fontId="5" fillId="0" borderId="11" xfId="0" applyNumberFormat="1" applyFont="1" applyFill="1" applyBorder="1" applyAlignment="1" applyProtection="1">
      <alignment horizontal="left" vertical="center" wrapText="1"/>
      <protection/>
    </xf>
    <xf numFmtId="175" fontId="5" fillId="0" borderId="11" xfId="0" applyNumberFormat="1" applyFont="1" applyFill="1" applyBorder="1" applyAlignment="1">
      <alignment horizontal="center" vertical="center" wrapText="1"/>
    </xf>
    <xf numFmtId="175" fontId="10" fillId="0" borderId="12" xfId="0" applyNumberFormat="1" applyFont="1" applyFill="1" applyBorder="1" applyAlignment="1" applyProtection="1">
      <alignment vertical="center" wrapText="1"/>
      <protection/>
    </xf>
    <xf numFmtId="175" fontId="8" fillId="0" borderId="21" xfId="0" applyNumberFormat="1" applyFont="1" applyFill="1" applyBorder="1" applyAlignment="1" applyProtection="1">
      <alignment vertical="center" wrapText="1"/>
      <protection/>
    </xf>
    <xf numFmtId="175" fontId="8" fillId="0" borderId="12" xfId="0" applyNumberFormat="1" applyFont="1" applyFill="1" applyBorder="1" applyAlignment="1" applyProtection="1">
      <alignment vertical="center" wrapText="1"/>
      <protection/>
    </xf>
    <xf numFmtId="176" fontId="8" fillId="0" borderId="0" xfId="0" applyNumberFormat="1" applyFont="1" applyFill="1" applyAlignment="1" applyProtection="1">
      <alignment horizontal="center" vertical="center" wrapText="1"/>
      <protection/>
    </xf>
    <xf numFmtId="175" fontId="10" fillId="0" borderId="0" xfId="0" applyNumberFormat="1" applyFont="1" applyFill="1" applyAlignment="1" applyProtection="1">
      <alignment vertical="center" wrapText="1"/>
      <protection/>
    </xf>
    <xf numFmtId="0" fontId="80" fillId="0" borderId="0" xfId="0" applyFont="1" applyFill="1" applyAlignment="1" applyProtection="1">
      <alignment vertical="center" wrapText="1"/>
      <protection/>
    </xf>
    <xf numFmtId="0" fontId="81" fillId="0" borderId="0" xfId="0" applyFont="1" applyFill="1" applyAlignment="1" applyProtection="1">
      <alignment vertical="center" wrapText="1"/>
      <protection/>
    </xf>
    <xf numFmtId="175" fontId="81" fillId="0" borderId="0" xfId="0" applyNumberFormat="1" applyFont="1" applyFill="1" applyAlignment="1" applyProtection="1">
      <alignment vertical="center" wrapText="1"/>
      <protection/>
    </xf>
    <xf numFmtId="0" fontId="82" fillId="0" borderId="0" xfId="0" applyFont="1" applyFill="1" applyAlignment="1" applyProtection="1">
      <alignment vertical="center" wrapText="1"/>
      <protection/>
    </xf>
    <xf numFmtId="3" fontId="10" fillId="34" borderId="0" xfId="0" applyNumberFormat="1" applyFont="1" applyFill="1" applyAlignment="1" applyProtection="1">
      <alignment horizontal="center" vertical="center" wrapText="1"/>
      <protection/>
    </xf>
    <xf numFmtId="3" fontId="13" fillId="34" borderId="10" xfId="0" applyNumberFormat="1" applyFont="1" applyFill="1" applyBorder="1" applyAlignment="1" applyProtection="1">
      <alignment horizontal="center" vertical="center" wrapText="1"/>
      <protection/>
    </xf>
    <xf numFmtId="3" fontId="8" fillId="34" borderId="10" xfId="0" applyNumberFormat="1" applyFont="1" applyFill="1" applyBorder="1" applyAlignment="1" applyProtection="1">
      <alignment horizontal="center" vertical="center" wrapText="1"/>
      <protection/>
    </xf>
    <xf numFmtId="3" fontId="80" fillId="34" borderId="10" xfId="0" applyNumberFormat="1" applyFont="1" applyFill="1" applyBorder="1" applyAlignment="1" applyProtection="1">
      <alignment horizontal="center" vertical="center" wrapText="1"/>
      <protection/>
    </xf>
    <xf numFmtId="3" fontId="81" fillId="34" borderId="10" xfId="0" applyNumberFormat="1" applyFont="1" applyFill="1" applyBorder="1" applyAlignment="1" applyProtection="1">
      <alignment horizontal="center" vertical="center" wrapText="1"/>
      <protection/>
    </xf>
    <xf numFmtId="3" fontId="82" fillId="34" borderId="10" xfId="0" applyNumberFormat="1" applyFont="1" applyFill="1" applyBorder="1" applyAlignment="1" applyProtection="1">
      <alignment horizontal="center" vertical="center" wrapText="1"/>
      <protection/>
    </xf>
    <xf numFmtId="3" fontId="10" fillId="34" borderId="10" xfId="0" applyNumberFormat="1" applyFont="1" applyFill="1" applyBorder="1" applyAlignment="1" applyProtection="1">
      <alignment horizontal="center" vertical="center" wrapText="1"/>
      <protection/>
    </xf>
    <xf numFmtId="3" fontId="12" fillId="34" borderId="10" xfId="0" applyNumberFormat="1" applyFont="1" applyFill="1" applyBorder="1" applyAlignment="1" applyProtection="1">
      <alignment horizontal="center" vertical="center" wrapText="1"/>
      <protection/>
    </xf>
    <xf numFmtId="0" fontId="10" fillId="35" borderId="10" xfId="0" applyFont="1" applyFill="1" applyBorder="1" applyAlignment="1" applyProtection="1">
      <alignment vertical="center" wrapText="1"/>
      <protection/>
    </xf>
    <xf numFmtId="0" fontId="13" fillId="35" borderId="10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 applyProtection="1">
      <alignment horizontal="left" vertical="center" wrapText="1"/>
      <protection/>
    </xf>
    <xf numFmtId="0" fontId="80" fillId="35" borderId="10" xfId="0" applyFont="1" applyFill="1" applyBorder="1" applyAlignment="1" applyProtection="1">
      <alignment vertical="center" wrapText="1"/>
      <protection/>
    </xf>
    <xf numFmtId="175" fontId="81" fillId="35" borderId="10" xfId="0" applyNumberFormat="1" applyFont="1" applyFill="1" applyBorder="1" applyAlignment="1" applyProtection="1">
      <alignment vertical="center" wrapText="1"/>
      <protection/>
    </xf>
    <xf numFmtId="0" fontId="82" fillId="35" borderId="10" xfId="0" applyFont="1" applyFill="1" applyBorder="1" applyAlignment="1" applyProtection="1">
      <alignment vertical="center" wrapText="1"/>
      <protection/>
    </xf>
    <xf numFmtId="0" fontId="8" fillId="35" borderId="10" xfId="0" applyFont="1" applyFill="1" applyBorder="1" applyAlignment="1" applyProtection="1">
      <alignment vertical="center" wrapText="1"/>
      <protection/>
    </xf>
    <xf numFmtId="0" fontId="83" fillId="0" borderId="0" xfId="0" applyFont="1" applyFill="1" applyAlignment="1" applyProtection="1">
      <alignment vertical="center" wrapText="1"/>
      <protection/>
    </xf>
    <xf numFmtId="3" fontId="83" fillId="34" borderId="10" xfId="0" applyNumberFormat="1" applyFont="1" applyFill="1" applyBorder="1" applyAlignment="1" applyProtection="1">
      <alignment horizontal="center" vertical="center" wrapText="1"/>
      <protection/>
    </xf>
    <xf numFmtId="0" fontId="83" fillId="35" borderId="10" xfId="0" applyFont="1" applyFill="1" applyBorder="1" applyAlignment="1" applyProtection="1">
      <alignment vertical="center" wrapText="1"/>
      <protection/>
    </xf>
    <xf numFmtId="10" fontId="83" fillId="0" borderId="0" xfId="0" applyNumberFormat="1" applyFont="1" applyFill="1" applyAlignment="1" applyProtection="1">
      <alignment vertical="center" wrapText="1"/>
      <protection/>
    </xf>
    <xf numFmtId="0" fontId="84" fillId="0" borderId="0" xfId="0" applyFont="1" applyFill="1" applyAlignment="1" applyProtection="1">
      <alignment vertical="center" wrapText="1"/>
      <protection/>
    </xf>
    <xf numFmtId="3" fontId="84" fillId="34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172" fontId="5" fillId="0" borderId="12" xfId="0" applyNumberFormat="1" applyFont="1" applyFill="1" applyBorder="1" applyAlignment="1">
      <alignment horizontal="center" vertical="center" wrapText="1"/>
    </xf>
    <xf numFmtId="43" fontId="5" fillId="36" borderId="13" xfId="41" applyFont="1" applyFill="1" applyBorder="1" applyAlignment="1">
      <alignment horizontal="center" vertical="center" wrapText="1"/>
    </xf>
    <xf numFmtId="172" fontId="5" fillId="36" borderId="13" xfId="41" applyNumberFormat="1" applyFont="1" applyFill="1" applyBorder="1" applyAlignment="1">
      <alignment horizontal="center" vertical="center" wrapText="1"/>
    </xf>
    <xf numFmtId="172" fontId="5" fillId="36" borderId="11" xfId="41" applyNumberFormat="1" applyFont="1" applyFill="1" applyBorder="1" applyAlignment="1">
      <alignment horizontal="center" vertical="center" wrapText="1"/>
    </xf>
    <xf numFmtId="43" fontId="5" fillId="36" borderId="12" xfId="41" applyFont="1" applyFill="1" applyBorder="1" applyAlignment="1">
      <alignment horizontal="center" vertical="center" wrapText="1"/>
    </xf>
    <xf numFmtId="172" fontId="5" fillId="36" borderId="12" xfId="41" applyNumberFormat="1" applyFont="1" applyFill="1" applyBorder="1" applyAlignment="1">
      <alignment horizontal="center" vertical="center" wrapText="1"/>
    </xf>
    <xf numFmtId="43" fontId="5" fillId="36" borderId="13" xfId="41" applyNumberFormat="1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2" fontId="5" fillId="36" borderId="13" xfId="0" applyNumberFormat="1" applyFont="1" applyFill="1" applyBorder="1" applyAlignment="1">
      <alignment horizontal="center" vertical="center" wrapText="1"/>
    </xf>
    <xf numFmtId="43" fontId="5" fillId="36" borderId="11" xfId="41" applyNumberFormat="1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2" fontId="5" fillId="36" borderId="11" xfId="0" applyNumberFormat="1" applyFont="1" applyFill="1" applyBorder="1" applyAlignment="1">
      <alignment horizontal="center" vertical="center" wrapText="1"/>
    </xf>
    <xf numFmtId="43" fontId="5" fillId="36" borderId="12" xfId="41" applyNumberFormat="1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2" fontId="5" fillId="36" borderId="12" xfId="0" applyNumberFormat="1" applyFont="1" applyFill="1" applyBorder="1" applyAlignment="1">
      <alignment horizontal="center" vertical="center" wrapText="1"/>
    </xf>
    <xf numFmtId="172" fontId="85" fillId="36" borderId="13" xfId="41" applyNumberFormat="1" applyFont="1" applyFill="1" applyBorder="1" applyAlignment="1">
      <alignment horizontal="center" vertical="center" wrapText="1"/>
    </xf>
    <xf numFmtId="0" fontId="86" fillId="0" borderId="0" xfId="58" applyFont="1" applyFill="1">
      <alignment/>
      <protection/>
    </xf>
    <xf numFmtId="0" fontId="87" fillId="0" borderId="0" xfId="58" applyFont="1" applyFill="1">
      <alignment/>
      <protection/>
    </xf>
    <xf numFmtId="0" fontId="88" fillId="0" borderId="0" xfId="58" applyFont="1" applyFill="1">
      <alignment/>
      <protection/>
    </xf>
    <xf numFmtId="0" fontId="89" fillId="0" borderId="0" xfId="58" applyFont="1" applyFill="1" applyAlignment="1">
      <alignment horizontal="center" vertical="center"/>
      <protection/>
    </xf>
    <xf numFmtId="0" fontId="89" fillId="0" borderId="0" xfId="58" applyFont="1" applyFill="1">
      <alignment/>
      <protection/>
    </xf>
    <xf numFmtId="173" fontId="90" fillId="0" borderId="0" xfId="58" applyNumberFormat="1" applyFont="1" applyFill="1">
      <alignment/>
      <protection/>
    </xf>
    <xf numFmtId="173" fontId="89" fillId="0" borderId="0" xfId="58" applyNumberFormat="1" applyFont="1" applyFill="1">
      <alignment/>
      <protection/>
    </xf>
    <xf numFmtId="0" fontId="91" fillId="0" borderId="14" xfId="58" applyFont="1" applyFill="1" applyBorder="1" applyAlignment="1">
      <alignment/>
      <protection/>
    </xf>
    <xf numFmtId="0" fontId="92" fillId="0" borderId="0" xfId="58" applyFont="1" applyFill="1">
      <alignment/>
      <protection/>
    </xf>
    <xf numFmtId="0" fontId="93" fillId="0" borderId="10" xfId="58" applyFont="1" applyFill="1" applyBorder="1" applyAlignment="1">
      <alignment horizontal="center" vertical="center" wrapText="1"/>
      <protection/>
    </xf>
    <xf numFmtId="0" fontId="93" fillId="0" borderId="10" xfId="0" applyFont="1" applyFill="1" applyBorder="1" applyAlignment="1">
      <alignment horizontal="center" vertical="center" wrapText="1"/>
    </xf>
    <xf numFmtId="0" fontId="94" fillId="0" borderId="10" xfId="58" applyFont="1" applyFill="1" applyBorder="1" applyAlignment="1">
      <alignment horizontal="center" vertical="center"/>
      <protection/>
    </xf>
    <xf numFmtId="0" fontId="94" fillId="0" borderId="10" xfId="58" applyFont="1" applyFill="1" applyBorder="1" applyAlignment="1">
      <alignment horizontal="center" vertical="center" wrapText="1"/>
      <protection/>
    </xf>
    <xf numFmtId="0" fontId="95" fillId="0" borderId="0" xfId="58" applyFont="1" applyFill="1">
      <alignment/>
      <protection/>
    </xf>
    <xf numFmtId="3" fontId="96" fillId="0" borderId="10" xfId="43" applyNumberFormat="1" applyFont="1" applyFill="1" applyBorder="1" applyAlignment="1">
      <alignment vertical="center" wrapText="1"/>
    </xf>
    <xf numFmtId="3" fontId="96" fillId="0" borderId="10" xfId="43" applyNumberFormat="1" applyFont="1" applyFill="1" applyBorder="1" applyAlignment="1">
      <alignment horizontal="right" vertical="center" wrapText="1"/>
    </xf>
    <xf numFmtId="3" fontId="96" fillId="0" borderId="0" xfId="58" applyNumberFormat="1" applyFont="1" applyFill="1">
      <alignment/>
      <protection/>
    </xf>
    <xf numFmtId="173" fontId="96" fillId="0" borderId="0" xfId="58" applyNumberFormat="1" applyFont="1" applyFill="1">
      <alignment/>
      <protection/>
    </xf>
    <xf numFmtId="0" fontId="96" fillId="0" borderId="0" xfId="58" applyFont="1" applyFill="1">
      <alignment/>
      <protection/>
    </xf>
    <xf numFmtId="0" fontId="96" fillId="0" borderId="22" xfId="0" applyFont="1" applyFill="1" applyBorder="1" applyAlignment="1">
      <alignment horizontal="center" vertical="center" wrapText="1"/>
    </xf>
    <xf numFmtId="0" fontId="96" fillId="0" borderId="22" xfId="0" applyFont="1" applyFill="1" applyBorder="1" applyAlignment="1">
      <alignment horizontal="left" vertical="center" wrapText="1"/>
    </xf>
    <xf numFmtId="3" fontId="96" fillId="0" borderId="22" xfId="43" applyNumberFormat="1" applyFont="1" applyFill="1" applyBorder="1" applyAlignment="1">
      <alignment vertical="center" wrapText="1"/>
    </xf>
    <xf numFmtId="0" fontId="97" fillId="0" borderId="11" xfId="0" applyFont="1" applyFill="1" applyBorder="1" applyAlignment="1">
      <alignment horizontal="center" vertical="center" wrapText="1"/>
    </xf>
    <xf numFmtId="0" fontId="97" fillId="0" borderId="11" xfId="0" applyFont="1" applyFill="1" applyBorder="1" applyAlignment="1">
      <alignment vertical="center" wrapText="1"/>
    </xf>
    <xf numFmtId="3" fontId="97" fillId="0" borderId="11" xfId="43" applyNumberFormat="1" applyFont="1" applyFill="1" applyBorder="1" applyAlignment="1">
      <alignment vertical="center" wrapText="1"/>
    </xf>
    <xf numFmtId="3" fontId="97" fillId="0" borderId="11" xfId="43" applyNumberFormat="1" applyFont="1" applyFill="1" applyBorder="1" applyAlignment="1">
      <alignment horizontal="right" vertical="center" wrapText="1"/>
    </xf>
    <xf numFmtId="3" fontId="97" fillId="0" borderId="11" xfId="58" applyNumberFormat="1" applyFont="1" applyFill="1" applyBorder="1" applyAlignment="1">
      <alignment horizontal="right" vertical="center" wrapText="1"/>
      <protection/>
    </xf>
    <xf numFmtId="3" fontId="97" fillId="0" borderId="0" xfId="58" applyNumberFormat="1" applyFont="1" applyFill="1">
      <alignment/>
      <protection/>
    </xf>
    <xf numFmtId="0" fontId="97" fillId="0" borderId="0" xfId="58" applyFont="1" applyFill="1">
      <alignment/>
      <protection/>
    </xf>
    <xf numFmtId="173" fontId="97" fillId="0" borderId="0" xfId="58" applyNumberFormat="1" applyFont="1" applyFill="1">
      <alignment/>
      <protection/>
    </xf>
    <xf numFmtId="0" fontId="96" fillId="0" borderId="11" xfId="0" applyFont="1" applyFill="1" applyBorder="1" applyAlignment="1">
      <alignment horizontal="center" vertical="center" wrapText="1"/>
    </xf>
    <xf numFmtId="0" fontId="96" fillId="0" borderId="11" xfId="0" applyFont="1" applyFill="1" applyBorder="1" applyAlignment="1">
      <alignment vertical="center" wrapText="1"/>
    </xf>
    <xf numFmtId="3" fontId="96" fillId="0" borderId="11" xfId="43" applyNumberFormat="1" applyFont="1" applyFill="1" applyBorder="1" applyAlignment="1">
      <alignment vertical="center" wrapText="1"/>
    </xf>
    <xf numFmtId="0" fontId="89" fillId="0" borderId="12" xfId="58" applyFont="1" applyFill="1" applyBorder="1" applyAlignment="1">
      <alignment horizontal="center" vertical="center"/>
      <protection/>
    </xf>
    <xf numFmtId="0" fontId="89" fillId="0" borderId="12" xfId="58" applyFont="1" applyFill="1" applyBorder="1" applyAlignment="1">
      <alignment vertical="center" wrapText="1"/>
      <protection/>
    </xf>
    <xf numFmtId="3" fontId="98" fillId="0" borderId="12" xfId="43" applyNumberFormat="1" applyFont="1" applyFill="1" applyBorder="1" applyAlignment="1">
      <alignment vertical="center" wrapText="1"/>
    </xf>
    <xf numFmtId="3" fontId="99" fillId="0" borderId="12" xfId="58" applyNumberFormat="1" applyFont="1" applyFill="1" applyBorder="1" applyAlignment="1">
      <alignment horizontal="right" vertical="center" wrapText="1"/>
      <protection/>
    </xf>
    <xf numFmtId="3" fontId="99" fillId="0" borderId="12" xfId="41" applyNumberFormat="1" applyFont="1" applyFill="1" applyBorder="1" applyAlignment="1">
      <alignment horizontal="right" vertical="center" wrapText="1"/>
    </xf>
    <xf numFmtId="3" fontId="98" fillId="0" borderId="12" xfId="43" applyNumberFormat="1" applyFont="1" applyFill="1" applyBorder="1" applyAlignment="1">
      <alignment horizontal="right" vertical="center" wrapText="1"/>
    </xf>
    <xf numFmtId="3" fontId="100" fillId="0" borderId="0" xfId="58" applyNumberFormat="1" applyFont="1" applyFill="1">
      <alignment/>
      <protection/>
    </xf>
    <xf numFmtId="0" fontId="101" fillId="0" borderId="0" xfId="58" applyFont="1" applyFill="1">
      <alignment/>
      <protection/>
    </xf>
    <xf numFmtId="0" fontId="102" fillId="0" borderId="0" xfId="58" applyFont="1" applyFill="1">
      <alignment/>
      <protection/>
    </xf>
    <xf numFmtId="172" fontId="92" fillId="0" borderId="0" xfId="41" applyNumberFormat="1" applyFont="1" applyFill="1" applyAlignment="1">
      <alignment/>
    </xf>
    <xf numFmtId="0" fontId="93" fillId="0" borderId="0" xfId="58" applyFont="1" applyFill="1">
      <alignment/>
      <protection/>
    </xf>
    <xf numFmtId="43" fontId="92" fillId="0" borderId="0" xfId="58" applyNumberFormat="1" applyFont="1" applyFill="1">
      <alignment/>
      <protection/>
    </xf>
    <xf numFmtId="0" fontId="103" fillId="0" borderId="0" xfId="58" applyFont="1" applyFill="1">
      <alignment/>
      <protection/>
    </xf>
    <xf numFmtId="43" fontId="88" fillId="0" borderId="0" xfId="58" applyNumberFormat="1" applyFont="1" applyFill="1">
      <alignment/>
      <protection/>
    </xf>
    <xf numFmtId="0" fontId="101" fillId="0" borderId="0" xfId="0" applyFont="1" applyFill="1" applyAlignment="1" applyProtection="1">
      <alignment vertical="center" wrapText="1"/>
      <protection/>
    </xf>
    <xf numFmtId="0" fontId="102" fillId="0" borderId="0" xfId="0" applyFont="1" applyFill="1" applyAlignment="1" applyProtection="1">
      <alignment horizontal="center" wrapText="1"/>
      <protection/>
    </xf>
    <xf numFmtId="0" fontId="104" fillId="0" borderId="0" xfId="0" applyFont="1" applyFill="1" applyAlignment="1" applyProtection="1">
      <alignment wrapText="1"/>
      <protection/>
    </xf>
    <xf numFmtId="0" fontId="105" fillId="0" borderId="0" xfId="0" applyFont="1" applyFill="1" applyAlignment="1" applyProtection="1">
      <alignment wrapText="1"/>
      <protection/>
    </xf>
    <xf numFmtId="0" fontId="105" fillId="0" borderId="14" xfId="0" applyFont="1" applyFill="1" applyBorder="1" applyAlignment="1" applyProtection="1">
      <alignment horizontal="center" wrapText="1"/>
      <protection/>
    </xf>
    <xf numFmtId="0" fontId="105" fillId="0" borderId="14" xfId="0" applyFont="1" applyFill="1" applyBorder="1" applyAlignment="1" applyProtection="1">
      <alignment wrapText="1"/>
      <protection/>
    </xf>
    <xf numFmtId="0" fontId="96" fillId="0" borderId="10" xfId="0" applyFont="1" applyFill="1" applyBorder="1" applyAlignment="1" applyProtection="1">
      <alignment horizontal="center" vertical="center" wrapText="1"/>
      <protection/>
    </xf>
    <xf numFmtId="0" fontId="106" fillId="0" borderId="10" xfId="0" applyFont="1" applyFill="1" applyBorder="1" applyAlignment="1" applyProtection="1">
      <alignment horizontal="center" vertical="center" wrapText="1"/>
      <protection/>
    </xf>
    <xf numFmtId="0" fontId="106" fillId="0" borderId="17" xfId="0" applyFont="1" applyFill="1" applyBorder="1" applyAlignment="1" applyProtection="1">
      <alignment horizontal="center" vertical="center" wrapText="1"/>
      <protection/>
    </xf>
    <xf numFmtId="175" fontId="107" fillId="0" borderId="10" xfId="0" applyNumberFormat="1" applyFont="1" applyFill="1" applyBorder="1" applyAlignment="1" applyProtection="1">
      <alignment horizontal="left" vertical="center" wrapText="1"/>
      <protection/>
    </xf>
    <xf numFmtId="175" fontId="107" fillId="0" borderId="10" xfId="0" applyNumberFormat="1" applyFont="1" applyFill="1" applyBorder="1" applyAlignment="1">
      <alignment horizontal="center" vertical="center" wrapText="1"/>
    </xf>
    <xf numFmtId="0" fontId="97" fillId="0" borderId="18" xfId="0" applyFont="1" applyFill="1" applyBorder="1" applyAlignment="1" applyProtection="1">
      <alignment vertical="center" wrapText="1"/>
      <protection/>
    </xf>
    <xf numFmtId="0" fontId="97" fillId="0" borderId="17" xfId="0" applyFont="1" applyFill="1" applyBorder="1" applyAlignment="1" applyProtection="1">
      <alignment vertical="center" wrapText="1"/>
      <protection/>
    </xf>
    <xf numFmtId="0" fontId="107" fillId="0" borderId="13" xfId="0" applyFont="1" applyFill="1" applyBorder="1" applyAlignment="1" applyProtection="1">
      <alignment horizontal="center" vertical="center" wrapText="1"/>
      <protection/>
    </xf>
    <xf numFmtId="0" fontId="107" fillId="0" borderId="13" xfId="0" applyFont="1" applyFill="1" applyBorder="1" applyAlignment="1" applyProtection="1">
      <alignment vertical="center" wrapText="1"/>
      <protection/>
    </xf>
    <xf numFmtId="175" fontId="107" fillId="0" borderId="13" xfId="0" applyNumberFormat="1" applyFont="1" applyFill="1" applyBorder="1" applyAlignment="1" applyProtection="1">
      <alignment horizontal="left" vertical="center" wrapText="1"/>
      <protection/>
    </xf>
    <xf numFmtId="0" fontId="97" fillId="0" borderId="13" xfId="0" applyFont="1" applyFill="1" applyBorder="1" applyAlignment="1" applyProtection="1">
      <alignment horizontal="center" vertical="center" wrapText="1"/>
      <protection/>
    </xf>
    <xf numFmtId="0" fontId="97" fillId="0" borderId="19" xfId="0" applyFont="1" applyFill="1" applyBorder="1" applyAlignment="1" applyProtection="1">
      <alignment horizontal="center" vertical="center" wrapText="1"/>
      <protection/>
    </xf>
    <xf numFmtId="0" fontId="102" fillId="0" borderId="13" xfId="0" applyFont="1" applyFill="1" applyBorder="1" applyAlignment="1" applyProtection="1">
      <alignment vertical="center" wrapText="1"/>
      <protection/>
    </xf>
    <xf numFmtId="0" fontId="108" fillId="0" borderId="11" xfId="0" applyFont="1" applyFill="1" applyBorder="1" applyAlignment="1" applyProtection="1">
      <alignment horizontal="center" vertical="center" wrapText="1"/>
      <protection/>
    </xf>
    <xf numFmtId="0" fontId="108" fillId="0" borderId="11" xfId="0" applyFont="1" applyFill="1" applyBorder="1" applyAlignment="1" applyProtection="1">
      <alignment vertical="center" wrapText="1"/>
      <protection/>
    </xf>
    <xf numFmtId="175" fontId="108" fillId="0" borderId="11" xfId="0" applyNumberFormat="1" applyFont="1" applyFill="1" applyBorder="1" applyAlignment="1" applyProtection="1">
      <alignment horizontal="left" vertical="center" wrapText="1"/>
      <protection/>
    </xf>
    <xf numFmtId="0" fontId="97" fillId="0" borderId="11" xfId="0" applyFont="1" applyFill="1" applyBorder="1" applyAlignment="1" applyProtection="1">
      <alignment vertical="center" wrapText="1"/>
      <protection/>
    </xf>
    <xf numFmtId="0" fontId="97" fillId="0" borderId="20" xfId="0" applyFont="1" applyFill="1" applyBorder="1" applyAlignment="1" applyProtection="1">
      <alignment vertical="center" wrapText="1"/>
      <protection/>
    </xf>
    <xf numFmtId="0" fontId="109" fillId="0" borderId="11" xfId="0" applyFont="1" applyFill="1" applyBorder="1" applyAlignment="1" applyProtection="1">
      <alignment vertical="center" wrapText="1"/>
      <protection/>
    </xf>
    <xf numFmtId="0" fontId="110" fillId="0" borderId="11" xfId="0" applyFont="1" applyFill="1" applyBorder="1" applyAlignment="1" applyProtection="1">
      <alignment horizontal="center" vertical="center" wrapText="1"/>
      <protection/>
    </xf>
    <xf numFmtId="0" fontId="111" fillId="0" borderId="11" xfId="0" applyFont="1" applyFill="1" applyBorder="1" applyAlignment="1">
      <alignment vertical="center" wrapText="1"/>
    </xf>
    <xf numFmtId="0" fontId="111" fillId="0" borderId="11" xfId="0" applyFont="1" applyFill="1" applyBorder="1" applyAlignment="1" applyProtection="1">
      <alignment horizontal="center" vertical="center" wrapText="1"/>
      <protection/>
    </xf>
    <xf numFmtId="0" fontId="111" fillId="0" borderId="20" xfId="0" applyFont="1" applyFill="1" applyBorder="1" applyAlignment="1" applyProtection="1">
      <alignment horizontal="center" vertical="center" wrapText="1"/>
      <protection/>
    </xf>
    <xf numFmtId="0" fontId="110" fillId="0" borderId="11" xfId="0" applyFont="1" applyFill="1" applyBorder="1" applyAlignment="1" applyProtection="1">
      <alignment vertical="center" wrapText="1"/>
      <protection/>
    </xf>
    <xf numFmtId="0" fontId="107" fillId="0" borderId="11" xfId="0" applyFont="1" applyFill="1" applyBorder="1" applyAlignment="1" applyProtection="1">
      <alignment horizontal="center" vertical="center" wrapText="1"/>
      <protection/>
    </xf>
    <xf numFmtId="0" fontId="107" fillId="0" borderId="11" xfId="0" applyFont="1" applyFill="1" applyBorder="1" applyAlignment="1" applyProtection="1">
      <alignment vertical="center" wrapText="1"/>
      <protection/>
    </xf>
    <xf numFmtId="175" fontId="107" fillId="0" borderId="11" xfId="0" applyNumberFormat="1" applyFont="1" applyFill="1" applyBorder="1" applyAlignment="1" applyProtection="1">
      <alignment horizontal="left" vertical="center" wrapText="1"/>
      <protection/>
    </xf>
    <xf numFmtId="175" fontId="107" fillId="0" borderId="11" xfId="0" applyNumberFormat="1" applyFont="1" applyFill="1" applyBorder="1" applyAlignment="1" applyProtection="1">
      <alignment vertical="center" wrapText="1"/>
      <protection/>
    </xf>
    <xf numFmtId="0" fontId="97" fillId="0" borderId="11" xfId="0" applyFont="1" applyFill="1" applyBorder="1" applyAlignment="1" applyProtection="1">
      <alignment horizontal="center" vertical="center" wrapText="1"/>
      <protection/>
    </xf>
    <xf numFmtId="0" fontId="97" fillId="0" borderId="20" xfId="0" applyFont="1" applyFill="1" applyBorder="1" applyAlignment="1" applyProtection="1">
      <alignment horizontal="center" vertical="center" wrapText="1"/>
      <protection/>
    </xf>
    <xf numFmtId="0" fontId="101" fillId="0" borderId="11" xfId="0" applyFont="1" applyFill="1" applyBorder="1" applyAlignment="1" applyProtection="1">
      <alignment vertical="center" wrapText="1"/>
      <protection/>
    </xf>
    <xf numFmtId="0" fontId="111" fillId="0" borderId="11" xfId="0" applyFont="1" applyFill="1" applyBorder="1" applyAlignment="1">
      <alignment horizontal="left" vertical="center" wrapText="1"/>
    </xf>
    <xf numFmtId="175" fontId="111" fillId="0" borderId="11" xfId="0" applyNumberFormat="1" applyFont="1" applyFill="1" applyBorder="1" applyAlignment="1" applyProtection="1">
      <alignment horizontal="left" vertical="center" wrapText="1"/>
      <protection/>
    </xf>
    <xf numFmtId="175" fontId="111" fillId="0" borderId="11" xfId="0" applyNumberFormat="1" applyFont="1" applyFill="1" applyBorder="1" applyAlignment="1">
      <alignment horizontal="center" vertical="center" wrapText="1"/>
    </xf>
    <xf numFmtId="0" fontId="102" fillId="0" borderId="11" xfId="0" applyFont="1" applyFill="1" applyBorder="1" applyAlignment="1" applyProtection="1">
      <alignment vertical="center" wrapText="1"/>
      <protection/>
    </xf>
    <xf numFmtId="175" fontId="108" fillId="0" borderId="11" xfId="0" applyNumberFormat="1" applyFont="1" applyFill="1" applyBorder="1" applyAlignment="1">
      <alignment horizontal="center" vertical="center" wrapText="1"/>
    </xf>
    <xf numFmtId="0" fontId="106" fillId="0" borderId="11" xfId="0" applyFont="1" applyFill="1" applyBorder="1" applyAlignment="1" applyProtection="1">
      <alignment vertical="center" wrapText="1"/>
      <protection/>
    </xf>
    <xf numFmtId="0" fontId="106" fillId="0" borderId="20" xfId="0" applyFont="1" applyFill="1" applyBorder="1" applyAlignment="1" applyProtection="1">
      <alignment vertical="center" wrapText="1"/>
      <protection/>
    </xf>
    <xf numFmtId="0" fontId="112" fillId="0" borderId="11" xfId="0" applyFont="1" applyFill="1" applyBorder="1" applyAlignment="1" applyProtection="1">
      <alignment vertical="center" wrapText="1"/>
      <protection/>
    </xf>
    <xf numFmtId="175" fontId="107" fillId="0" borderId="11" xfId="0" applyNumberFormat="1" applyFont="1" applyFill="1" applyBorder="1" applyAlignment="1">
      <alignment horizontal="center" vertical="center" wrapText="1"/>
    </xf>
    <xf numFmtId="0" fontId="97" fillId="0" borderId="23" xfId="0" applyFont="1" applyFill="1" applyBorder="1" applyAlignment="1" applyProtection="1">
      <alignment horizontal="center" vertical="center" wrapText="1"/>
      <protection/>
    </xf>
    <xf numFmtId="0" fontId="97" fillId="0" borderId="24" xfId="0" applyFont="1" applyFill="1" applyBorder="1" applyAlignment="1" applyProtection="1">
      <alignment horizontal="center" vertical="center" wrapText="1"/>
      <protection/>
    </xf>
    <xf numFmtId="43" fontId="85" fillId="36" borderId="13" xfId="41" applyNumberFormat="1" applyFont="1" applyFill="1" applyBorder="1" applyAlignment="1">
      <alignment horizontal="center" vertical="center" wrapText="1"/>
    </xf>
    <xf numFmtId="0" fontId="85" fillId="36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wrapText="1"/>
      <protection/>
    </xf>
    <xf numFmtId="0" fontId="9" fillId="0" borderId="0" xfId="0" applyFont="1" applyFill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7" fillId="0" borderId="10" xfId="0" applyFont="1" applyFill="1" applyBorder="1" applyAlignment="1" applyProtection="1">
      <alignment horizontal="center" vertical="center" wrapText="1"/>
      <protection/>
    </xf>
    <xf numFmtId="0" fontId="104" fillId="0" borderId="0" xfId="0" applyFont="1" applyFill="1" applyAlignment="1" applyProtection="1">
      <alignment horizontal="center" wrapText="1"/>
      <protection/>
    </xf>
    <xf numFmtId="0" fontId="105" fillId="0" borderId="0" xfId="0" applyFont="1" applyFill="1" applyAlignment="1" applyProtection="1">
      <alignment horizontal="center" wrapText="1"/>
      <protection/>
    </xf>
    <xf numFmtId="0" fontId="96" fillId="0" borderId="10" xfId="0" applyFont="1" applyFill="1" applyBorder="1" applyAlignment="1" applyProtection="1">
      <alignment horizontal="center" vertical="center" wrapText="1"/>
      <protection/>
    </xf>
    <xf numFmtId="0" fontId="106" fillId="0" borderId="10" xfId="0" applyFont="1" applyFill="1" applyBorder="1" applyAlignment="1" applyProtection="1">
      <alignment horizontal="center" vertical="center" wrapText="1"/>
      <protection/>
    </xf>
    <xf numFmtId="3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27" xfId="0" applyFont="1" applyFill="1" applyBorder="1" applyAlignment="1" applyProtection="1">
      <alignment horizontal="center" vertical="center" wrapText="1"/>
      <protection/>
    </xf>
    <xf numFmtId="0" fontId="2" fillId="35" borderId="28" xfId="0" applyFont="1" applyFill="1" applyBorder="1" applyAlignment="1" applyProtection="1">
      <alignment horizontal="center" vertical="center" wrapText="1"/>
      <protection/>
    </xf>
    <xf numFmtId="0" fontId="96" fillId="0" borderId="17" xfId="0" applyFont="1" applyFill="1" applyBorder="1" applyAlignment="1" applyProtection="1">
      <alignment horizontal="center" vertical="center" wrapText="1"/>
      <protection/>
    </xf>
    <xf numFmtId="0" fontId="96" fillId="0" borderId="25" xfId="0" applyFont="1" applyFill="1" applyBorder="1" applyAlignment="1" applyProtection="1">
      <alignment horizontal="center" vertical="center" wrapText="1"/>
      <protection/>
    </xf>
    <xf numFmtId="0" fontId="96" fillId="0" borderId="26" xfId="0" applyFont="1" applyFill="1" applyBorder="1" applyAlignment="1" applyProtection="1">
      <alignment horizontal="center" vertical="center" wrapText="1"/>
      <protection/>
    </xf>
    <xf numFmtId="0" fontId="96" fillId="0" borderId="27" xfId="0" applyFont="1" applyFill="1" applyBorder="1" applyAlignment="1" applyProtection="1">
      <alignment horizontal="center" vertical="center" wrapText="1"/>
      <protection/>
    </xf>
    <xf numFmtId="0" fontId="96" fillId="0" borderId="28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172" fontId="9" fillId="0" borderId="14" xfId="41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6" fillId="0" borderId="16" xfId="58" applyFont="1" applyFill="1" applyBorder="1" applyAlignment="1">
      <alignment horizontal="center" vertical="center" wrapText="1"/>
      <protection/>
    </xf>
    <xf numFmtId="0" fontId="6" fillId="0" borderId="27" xfId="58" applyFont="1" applyFill="1" applyBorder="1" applyAlignment="1">
      <alignment horizontal="center" vertical="center" wrapText="1"/>
      <protection/>
    </xf>
    <xf numFmtId="0" fontId="6" fillId="0" borderId="28" xfId="58" applyFont="1" applyFill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3" fillId="0" borderId="16" xfId="58" applyFont="1" applyFill="1" applyBorder="1" applyAlignment="1">
      <alignment horizontal="center" vertical="center" wrapText="1"/>
      <protection/>
    </xf>
    <xf numFmtId="0" fontId="93" fillId="0" borderId="27" xfId="58" applyFont="1" applyFill="1" applyBorder="1" applyAlignment="1">
      <alignment horizontal="center" vertical="center" wrapText="1"/>
      <protection/>
    </xf>
    <xf numFmtId="0" fontId="93" fillId="0" borderId="28" xfId="58" applyFont="1" applyFill="1" applyBorder="1" applyAlignment="1">
      <alignment horizontal="center" vertical="center" wrapText="1"/>
      <protection/>
    </xf>
    <xf numFmtId="0" fontId="93" fillId="0" borderId="16" xfId="0" applyFont="1" applyFill="1" applyBorder="1" applyAlignment="1">
      <alignment horizontal="center" vertical="center" wrapText="1"/>
    </xf>
    <xf numFmtId="0" fontId="93" fillId="0" borderId="28" xfId="0" applyFont="1" applyFill="1" applyBorder="1" applyAlignment="1">
      <alignment horizontal="center" vertical="center" wrapText="1"/>
    </xf>
    <xf numFmtId="0" fontId="93" fillId="0" borderId="10" xfId="58" applyFont="1" applyFill="1" applyBorder="1" applyAlignment="1">
      <alignment horizontal="center" vertical="center" wrapText="1"/>
      <protection/>
    </xf>
    <xf numFmtId="0" fontId="93" fillId="0" borderId="10" xfId="0" applyFont="1" applyFill="1" applyBorder="1" applyAlignment="1">
      <alignment horizontal="center" vertical="center" wrapText="1"/>
    </xf>
    <xf numFmtId="0" fontId="93" fillId="0" borderId="10" xfId="58" applyFont="1" applyFill="1" applyBorder="1" applyAlignment="1">
      <alignment horizontal="center" vertical="center"/>
      <protection/>
    </xf>
    <xf numFmtId="0" fontId="96" fillId="0" borderId="29" xfId="0" applyFont="1" applyFill="1" applyBorder="1" applyAlignment="1">
      <alignment horizontal="center" vertical="center" wrapText="1"/>
    </xf>
    <xf numFmtId="0" fontId="96" fillId="0" borderId="17" xfId="0" applyFont="1" applyFill="1" applyBorder="1" applyAlignment="1">
      <alignment horizontal="center" vertical="center" wrapText="1"/>
    </xf>
    <xf numFmtId="0" fontId="102" fillId="0" borderId="0" xfId="58" applyFont="1" applyFill="1" applyAlignment="1">
      <alignment horizontal="center"/>
      <protection/>
    </xf>
    <xf numFmtId="0" fontId="112" fillId="0" borderId="14" xfId="58" applyFont="1" applyFill="1" applyBorder="1" applyAlignment="1">
      <alignment horizontal="center"/>
      <protection/>
    </xf>
    <xf numFmtId="0" fontId="104" fillId="0" borderId="0" xfId="58" applyFont="1" applyFill="1" applyAlignment="1">
      <alignment horizontal="center" wrapText="1"/>
      <protection/>
    </xf>
    <xf numFmtId="0" fontId="105" fillId="0" borderId="0" xfId="58" applyFont="1" applyFill="1" applyAlignment="1">
      <alignment horizontal="center" wrapText="1"/>
      <protection/>
    </xf>
    <xf numFmtId="175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97" fillId="0" borderId="23" xfId="0" applyFont="1" applyFill="1" applyBorder="1" applyAlignment="1" applyProtection="1">
      <alignment horizontal="center" vertical="center" wrapText="1"/>
      <protection/>
    </xf>
    <xf numFmtId="0" fontId="97" fillId="0" borderId="27" xfId="0" applyFont="1" applyFill="1" applyBorder="1" applyAlignment="1" applyProtection="1">
      <alignment horizontal="center" vertical="center" wrapText="1"/>
      <protection/>
    </xf>
    <xf numFmtId="0" fontId="97" fillId="0" borderId="13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right"/>
    </xf>
    <xf numFmtId="0" fontId="14" fillId="36" borderId="11" xfId="0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vertical="center" wrapText="1"/>
    </xf>
    <xf numFmtId="3" fontId="14" fillId="36" borderId="11" xfId="0" applyNumberFormat="1" applyFont="1" applyFill="1" applyBorder="1" applyAlignment="1">
      <alignment horizontal="right" vertical="center" wrapText="1"/>
    </xf>
    <xf numFmtId="0" fontId="14" fillId="36" borderId="11" xfId="0" applyFont="1" applyFill="1" applyBorder="1" applyAlignment="1">
      <alignment horizontal="right" vertical="center"/>
    </xf>
    <xf numFmtId="0" fontId="14" fillId="36" borderId="23" xfId="0" applyFont="1" applyFill="1" applyBorder="1" applyAlignment="1">
      <alignment horizontal="center" vertical="center" wrapText="1"/>
    </xf>
    <xf numFmtId="0" fontId="18" fillId="36" borderId="0" xfId="0" applyFont="1" applyFill="1" applyAlignment="1">
      <alignment/>
    </xf>
    <xf numFmtId="0" fontId="14" fillId="36" borderId="27" xfId="0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right" vertical="center" wrapText="1"/>
    </xf>
    <xf numFmtId="0" fontId="14" fillId="36" borderId="13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vertical="center" wrapText="1"/>
    </xf>
    <xf numFmtId="0" fontId="6" fillId="36" borderId="11" xfId="0" applyFont="1" applyFill="1" applyBorder="1" applyAlignment="1">
      <alignment horizontal="right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vertical="center" wrapText="1"/>
    </xf>
    <xf numFmtId="0" fontId="14" fillId="36" borderId="12" xfId="0" applyFont="1" applyFill="1" applyBorder="1" applyAlignment="1">
      <alignment horizontal="right" vertical="center" wrapText="1"/>
    </xf>
    <xf numFmtId="0" fontId="14" fillId="36" borderId="28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_Phan bo CTMT QG GNBV 2017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han bo CTMT QG GNBV 201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us\Documents\Zalo%20Received%20Files\BIEU-DU-KIEN-PHAN-BO-NGUON-SN-CTMTQG-GNBV%20(23-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 - GN"/>
      <sheetName val="Biểu 1c - Công trình GD&amp;HT"/>
      <sheetName val="1b - Tỷ lệ đối ứng "/>
      <sheetName val="1d - Tiêu chí phân bổ GNBV"/>
      <sheetName val="1a - GNBV 2022"/>
    </sheetNames>
    <sheetDataSet>
      <sheetData sheetId="4">
        <row r="3">
          <cell r="A3" t="str">
            <v>(Kèm theo Tờ trình số:                /TTr-UBND ngày             /8/2022 của UBND huyện Tuần Giáo)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CC"/>
  </sheetPr>
  <dimension ref="A1:P37"/>
  <sheetViews>
    <sheetView tabSelected="1" zoomScale="75" zoomScaleNormal="75" zoomScalePageLayoutView="0" workbookViewId="0" topLeftCell="A1">
      <selection activeCell="I12" sqref="I12"/>
    </sheetView>
  </sheetViews>
  <sheetFormatPr defaultColWidth="9.140625" defaultRowHeight="12.75"/>
  <cols>
    <col min="1" max="1" width="9.57421875" style="32" customWidth="1"/>
    <col min="2" max="2" width="60.8515625" style="32" customWidth="1"/>
    <col min="3" max="3" width="20.57421875" style="32" customWidth="1"/>
    <col min="4" max="4" width="17.28125" style="32" customWidth="1"/>
    <col min="5" max="5" width="16.28125" style="32" customWidth="1"/>
    <col min="6" max="6" width="33.28125" style="33" customWidth="1"/>
    <col min="7" max="7" width="31.57421875" style="33" hidden="1" customWidth="1"/>
    <col min="8" max="8" width="3.140625" style="32" hidden="1" customWidth="1"/>
    <col min="9" max="9" width="52.00390625" style="32" customWidth="1"/>
    <col min="10" max="10" width="21.421875" style="32" customWidth="1"/>
    <col min="11" max="13" width="9.140625" style="32" customWidth="1"/>
    <col min="14" max="14" width="11.8515625" style="32" customWidth="1"/>
    <col min="15" max="16384" width="9.140625" style="32" customWidth="1"/>
  </cols>
  <sheetData>
    <row r="1" spans="6:8" ht="21" customHeight="1">
      <c r="F1" s="38" t="s">
        <v>112</v>
      </c>
      <c r="G1" s="38"/>
      <c r="H1" s="38" t="s">
        <v>112</v>
      </c>
    </row>
    <row r="2" spans="1:8" ht="23.25" customHeight="1">
      <c r="A2" s="245" t="s">
        <v>135</v>
      </c>
      <c r="B2" s="245"/>
      <c r="C2" s="245"/>
      <c r="D2" s="245"/>
      <c r="E2" s="245"/>
      <c r="F2" s="245"/>
      <c r="G2" s="43"/>
      <c r="H2" s="43"/>
    </row>
    <row r="3" spans="1:8" ht="23.25" customHeight="1">
      <c r="A3" s="245" t="s">
        <v>189</v>
      </c>
      <c r="B3" s="245"/>
      <c r="C3" s="245"/>
      <c r="D3" s="245"/>
      <c r="E3" s="245"/>
      <c r="F3" s="245"/>
      <c r="G3" s="43"/>
      <c r="H3" s="43"/>
    </row>
    <row r="4" spans="1:8" ht="23.25" customHeight="1">
      <c r="A4" s="246" t="str">
        <f>'1a - GNBV 2022'!A3:U3</f>
        <v>(Kèm theo Tờ trình số:                /TTr-UBND ngày             /8/2022 của UBND huyện Tuần Giáo)</v>
      </c>
      <c r="B4" s="246"/>
      <c r="C4" s="246"/>
      <c r="D4" s="246"/>
      <c r="E4" s="246"/>
      <c r="F4" s="246"/>
      <c r="G4" s="44"/>
      <c r="H4" s="44"/>
    </row>
    <row r="5" spans="6:8" ht="24" customHeight="1">
      <c r="F5" s="40" t="s">
        <v>14</v>
      </c>
      <c r="G5" s="39"/>
      <c r="H5" s="40" t="s">
        <v>14</v>
      </c>
    </row>
    <row r="6" spans="1:8" s="66" customFormat="1" ht="27" customHeight="1">
      <c r="A6" s="247" t="s">
        <v>26</v>
      </c>
      <c r="B6" s="247" t="s">
        <v>15</v>
      </c>
      <c r="C6" s="247" t="s">
        <v>99</v>
      </c>
      <c r="D6" s="247"/>
      <c r="E6" s="247"/>
      <c r="F6" s="247" t="s">
        <v>113</v>
      </c>
      <c r="G6" s="248" t="s">
        <v>3</v>
      </c>
      <c r="H6" s="247"/>
    </row>
    <row r="7" spans="1:8" s="66" customFormat="1" ht="27.75" customHeight="1">
      <c r="A7" s="247"/>
      <c r="B7" s="247"/>
      <c r="C7" s="247" t="s">
        <v>2</v>
      </c>
      <c r="D7" s="253" t="s">
        <v>95</v>
      </c>
      <c r="E7" s="253"/>
      <c r="F7" s="247"/>
      <c r="G7" s="249" t="s">
        <v>123</v>
      </c>
      <c r="H7" s="251" t="s">
        <v>124</v>
      </c>
    </row>
    <row r="8" spans="1:8" s="66" customFormat="1" ht="117.75" customHeight="1">
      <c r="A8" s="247"/>
      <c r="B8" s="247"/>
      <c r="C8" s="247"/>
      <c r="D8" s="65" t="s">
        <v>110</v>
      </c>
      <c r="E8" s="65" t="s">
        <v>148</v>
      </c>
      <c r="F8" s="247"/>
      <c r="G8" s="250"/>
      <c r="H8" s="252"/>
    </row>
    <row r="9" spans="1:8" s="69" customFormat="1" ht="32.25" customHeight="1">
      <c r="A9" s="67" t="s">
        <v>0</v>
      </c>
      <c r="B9" s="67" t="s">
        <v>1</v>
      </c>
      <c r="C9" s="67">
        <v>1</v>
      </c>
      <c r="D9" s="67">
        <v>2</v>
      </c>
      <c r="E9" s="67">
        <v>3</v>
      </c>
      <c r="F9" s="67">
        <v>4</v>
      </c>
      <c r="G9" s="68">
        <v>5</v>
      </c>
      <c r="H9" s="67">
        <v>6</v>
      </c>
    </row>
    <row r="10" spans="1:9" s="73" customFormat="1" ht="31.5" customHeight="1">
      <c r="A10" s="244" t="s">
        <v>60</v>
      </c>
      <c r="B10" s="244"/>
      <c r="C10" s="90">
        <f>SUM(C11,C17)</f>
        <v>6777.166287999999</v>
      </c>
      <c r="D10" s="90">
        <f>SUM(D11,D17)</f>
        <v>6396.006288</v>
      </c>
      <c r="E10" s="90">
        <f>SUM(E11,E17)</f>
        <v>381.15999999999997</v>
      </c>
      <c r="F10" s="70"/>
      <c r="G10" s="71"/>
      <c r="H10" s="72"/>
      <c r="I10" s="306"/>
    </row>
    <row r="11" spans="1:8" s="78" customFormat="1" ht="27.75" customHeight="1">
      <c r="A11" s="74" t="s">
        <v>39</v>
      </c>
      <c r="B11" s="75" t="s">
        <v>40</v>
      </c>
      <c r="C11" s="91">
        <f>SUM(C12:C16)</f>
        <v>6587.16</v>
      </c>
      <c r="D11" s="91">
        <f>SUM(D12:D16)</f>
        <v>6396</v>
      </c>
      <c r="E11" s="91">
        <f>SUM(E12:E16)</f>
        <v>191.15999999999997</v>
      </c>
      <c r="F11" s="76" t="s">
        <v>146</v>
      </c>
      <c r="G11" s="77"/>
      <c r="H11" s="75"/>
    </row>
    <row r="12" spans="1:10" s="82" customFormat="1" ht="27.75" customHeight="1">
      <c r="A12" s="76">
        <v>1</v>
      </c>
      <c r="B12" s="79" t="s">
        <v>27</v>
      </c>
      <c r="C12" s="92">
        <f>SUM(D12:E12)</f>
        <v>2057.48</v>
      </c>
      <c r="D12" s="92">
        <f>+'1a - GNBV 2022'!C13</f>
        <v>1998</v>
      </c>
      <c r="E12" s="92">
        <f>'1b - Tỷ lệ đối ứng '!E59+'1b - Tỷ lệ đối ứng '!E62+'1b - Tỷ lệ đối ứng '!E63+'1b - Tỷ lệ đối ứng '!E66+'1b - Tỷ lệ đối ứng '!E68+'1b - Tỷ lệ đối ứng '!E69</f>
        <v>59.48</v>
      </c>
      <c r="F12" s="76"/>
      <c r="G12" s="77"/>
      <c r="H12" s="80"/>
      <c r="I12" s="81"/>
      <c r="J12" s="82">
        <f>7+8+13+2+19+10</f>
        <v>59</v>
      </c>
    </row>
    <row r="13" spans="1:9" s="82" customFormat="1" ht="27.75" customHeight="1">
      <c r="A13" s="76">
        <v>2</v>
      </c>
      <c r="B13" s="79" t="s">
        <v>122</v>
      </c>
      <c r="C13" s="92">
        <f>SUM(D13:E13)</f>
        <v>1030</v>
      </c>
      <c r="D13" s="92">
        <f>+'1a - GNBV 2022'!C14</f>
        <v>1000</v>
      </c>
      <c r="E13" s="93">
        <f>'Biểu 1c - GD và KTHT'!G10</f>
        <v>30</v>
      </c>
      <c r="F13" s="242" t="s">
        <v>147</v>
      </c>
      <c r="G13" s="77"/>
      <c r="H13" s="80"/>
      <c r="I13" s="81"/>
    </row>
    <row r="14" spans="1:9" s="82" customFormat="1" ht="27.75" customHeight="1">
      <c r="A14" s="76">
        <v>3</v>
      </c>
      <c r="B14" s="79" t="s">
        <v>145</v>
      </c>
      <c r="C14" s="92">
        <f>SUM(D14:E14)</f>
        <v>1001</v>
      </c>
      <c r="D14" s="92">
        <f>+'1a - GNBV 2022'!C15</f>
        <v>972</v>
      </c>
      <c r="E14" s="92">
        <f>'Biểu 1c - GD và KTHT'!G15</f>
        <v>29</v>
      </c>
      <c r="F14" s="243"/>
      <c r="G14" s="77"/>
      <c r="H14" s="80"/>
      <c r="I14" s="81"/>
    </row>
    <row r="15" spans="1:9" s="82" customFormat="1" ht="27.75" customHeight="1">
      <c r="A15" s="76">
        <v>4</v>
      </c>
      <c r="B15" s="79" t="s">
        <v>28</v>
      </c>
      <c r="C15" s="92">
        <f>SUM(D15:E15)</f>
        <v>2117.68</v>
      </c>
      <c r="D15" s="92">
        <f>+'1a - GNBV 2022'!C16</f>
        <v>2056</v>
      </c>
      <c r="E15" s="92">
        <f>'1b - Tỷ lệ đối ứng '!E60+'1b - Tỷ lệ đối ứng '!E61</f>
        <v>61.67999999999999</v>
      </c>
      <c r="F15" s="76"/>
      <c r="G15" s="77"/>
      <c r="H15" s="80"/>
      <c r="I15" s="81"/>
    </row>
    <row r="16" spans="1:9" s="82" customFormat="1" ht="27.75" customHeight="1">
      <c r="A16" s="76">
        <v>5</v>
      </c>
      <c r="B16" s="83" t="s">
        <v>44</v>
      </c>
      <c r="C16" s="92">
        <f>SUM(D16:E16)</f>
        <v>381</v>
      </c>
      <c r="D16" s="92">
        <f>'1a - GNBV 2022'!C17</f>
        <v>370</v>
      </c>
      <c r="E16" s="92">
        <f>'1b - Tỷ lệ đối ứng '!E65</f>
        <v>11</v>
      </c>
      <c r="F16" s="76"/>
      <c r="G16" s="77"/>
      <c r="H16" s="80"/>
      <c r="I16" s="81"/>
    </row>
    <row r="17" spans="1:16" s="78" customFormat="1" ht="27.75" customHeight="1">
      <c r="A17" s="84" t="s">
        <v>41</v>
      </c>
      <c r="B17" s="85" t="s">
        <v>42</v>
      </c>
      <c r="C17" s="94">
        <f>SUM(C18:C36)</f>
        <v>190.006288</v>
      </c>
      <c r="D17" s="94">
        <f>SUM(D18:D36)</f>
        <v>0.006288</v>
      </c>
      <c r="E17" s="94">
        <f>SUM(E18:E36)</f>
        <v>190</v>
      </c>
      <c r="F17" s="76" t="s">
        <v>177</v>
      </c>
      <c r="G17" s="87"/>
      <c r="H17" s="88"/>
      <c r="I17" s="81"/>
      <c r="P17" s="30"/>
    </row>
    <row r="18" spans="1:16" s="82" customFormat="1" ht="27.75" customHeight="1">
      <c r="A18" s="86">
        <v>1</v>
      </c>
      <c r="B18" s="83" t="s">
        <v>149</v>
      </c>
      <c r="C18" s="95">
        <f aca="true" t="shared" si="0" ref="C18:C36">SUM(D18:E18)</f>
        <v>10.000352</v>
      </c>
      <c r="D18" s="96">
        <f>'1a - GNBV 2022'!C19</f>
        <v>0.000352</v>
      </c>
      <c r="E18" s="96">
        <f>'1b - Tỷ lệ đối ứng '!E16+'1b - Tỷ lệ đối ứng '!E37</f>
        <v>10</v>
      </c>
      <c r="F18" s="86"/>
      <c r="G18" s="87"/>
      <c r="H18" s="88"/>
      <c r="I18" s="81"/>
      <c r="P18" s="89"/>
    </row>
    <row r="19" spans="1:16" s="82" customFormat="1" ht="27.75" customHeight="1">
      <c r="A19" s="86">
        <v>2</v>
      </c>
      <c r="B19" s="83" t="s">
        <v>150</v>
      </c>
      <c r="C19" s="95">
        <f t="shared" si="0"/>
        <v>10.000347</v>
      </c>
      <c r="D19" s="96">
        <f>'1a - GNBV 2022'!C20</f>
        <v>0.000347</v>
      </c>
      <c r="E19" s="96">
        <f>'1b - Tỷ lệ đối ứng '!E17+'1b - Tỷ lệ đối ứng '!E38</f>
        <v>10</v>
      </c>
      <c r="F19" s="86"/>
      <c r="G19" s="87"/>
      <c r="H19" s="88"/>
      <c r="I19" s="81"/>
      <c r="P19" s="89"/>
    </row>
    <row r="20" spans="1:16" s="82" customFormat="1" ht="27.75" customHeight="1">
      <c r="A20" s="86">
        <v>3</v>
      </c>
      <c r="B20" s="83" t="s">
        <v>151</v>
      </c>
      <c r="C20" s="95">
        <f t="shared" si="0"/>
        <v>10.000342</v>
      </c>
      <c r="D20" s="96">
        <f>'1a - GNBV 2022'!C21</f>
        <v>0.000342</v>
      </c>
      <c r="E20" s="96">
        <f>'1b - Tỷ lệ đối ứng '!E18+'1b - Tỷ lệ đối ứng '!E39</f>
        <v>10</v>
      </c>
      <c r="F20" s="86"/>
      <c r="G20" s="87"/>
      <c r="H20" s="88"/>
      <c r="I20" s="81"/>
      <c r="P20" s="89"/>
    </row>
    <row r="21" spans="1:16" s="82" customFormat="1" ht="27.75" customHeight="1">
      <c r="A21" s="86">
        <v>4</v>
      </c>
      <c r="B21" s="83" t="s">
        <v>152</v>
      </c>
      <c r="C21" s="95">
        <f t="shared" si="0"/>
        <v>10.000322</v>
      </c>
      <c r="D21" s="96">
        <f>'1a - GNBV 2022'!C22</f>
        <v>0.000322</v>
      </c>
      <c r="E21" s="96">
        <f>'1b - Tỷ lệ đối ứng '!E19+'1b - Tỷ lệ đối ứng '!E40</f>
        <v>10</v>
      </c>
      <c r="F21" s="86"/>
      <c r="G21" s="87"/>
      <c r="H21" s="88"/>
      <c r="I21" s="81"/>
      <c r="P21" s="89"/>
    </row>
    <row r="22" spans="1:16" s="82" customFormat="1" ht="27.75" customHeight="1">
      <c r="A22" s="86">
        <v>5</v>
      </c>
      <c r="B22" s="83" t="s">
        <v>153</v>
      </c>
      <c r="C22" s="95">
        <f t="shared" si="0"/>
        <v>10.000336</v>
      </c>
      <c r="D22" s="96">
        <f>'1a - GNBV 2022'!C23</f>
        <v>0.000336</v>
      </c>
      <c r="E22" s="96">
        <f>'1b - Tỷ lệ đối ứng '!E20+'1b - Tỷ lệ đối ứng '!E41</f>
        <v>10</v>
      </c>
      <c r="F22" s="86"/>
      <c r="G22" s="87"/>
      <c r="H22" s="88"/>
      <c r="I22" s="81"/>
      <c r="P22" s="89"/>
    </row>
    <row r="23" spans="1:16" s="82" customFormat="1" ht="27.75" customHeight="1">
      <c r="A23" s="86">
        <v>6</v>
      </c>
      <c r="B23" s="83" t="s">
        <v>154</v>
      </c>
      <c r="C23" s="95">
        <f t="shared" si="0"/>
        <v>9.000299</v>
      </c>
      <c r="D23" s="96">
        <f>'1a - GNBV 2022'!C24</f>
        <v>0.000299</v>
      </c>
      <c r="E23" s="96">
        <f>'1b - Tỷ lệ đối ứng '!E21+'1b - Tỷ lệ đối ứng '!E42</f>
        <v>9</v>
      </c>
      <c r="F23" s="86"/>
      <c r="G23" s="87"/>
      <c r="H23" s="88"/>
      <c r="I23" s="81"/>
      <c r="P23" s="89"/>
    </row>
    <row r="24" spans="1:16" s="82" customFormat="1" ht="27.75" customHeight="1">
      <c r="A24" s="86">
        <v>7</v>
      </c>
      <c r="B24" s="83" t="s">
        <v>155</v>
      </c>
      <c r="C24" s="95">
        <f t="shared" si="0"/>
        <v>10.00032</v>
      </c>
      <c r="D24" s="96">
        <f>'1a - GNBV 2022'!C25</f>
        <v>0.00031999999999999997</v>
      </c>
      <c r="E24" s="96">
        <f>'1b - Tỷ lệ đối ứng '!E22+'1b - Tỷ lệ đối ứng '!E43</f>
        <v>10</v>
      </c>
      <c r="F24" s="86"/>
      <c r="G24" s="87"/>
      <c r="H24" s="88"/>
      <c r="I24" s="81"/>
      <c r="P24" s="89"/>
    </row>
    <row r="25" spans="1:16" s="82" customFormat="1" ht="27.75" customHeight="1">
      <c r="A25" s="86">
        <v>8</v>
      </c>
      <c r="B25" s="83" t="s">
        <v>156</v>
      </c>
      <c r="C25" s="95">
        <f t="shared" si="0"/>
        <v>10.00032</v>
      </c>
      <c r="D25" s="96">
        <f>'1a - GNBV 2022'!C26</f>
        <v>0.00031999999999999997</v>
      </c>
      <c r="E25" s="96">
        <f>'1b - Tỷ lệ đối ứng '!E23+'1b - Tỷ lệ đối ứng '!E44</f>
        <v>10</v>
      </c>
      <c r="F25" s="86"/>
      <c r="G25" s="87"/>
      <c r="H25" s="88"/>
      <c r="I25" s="81"/>
      <c r="P25" s="89"/>
    </row>
    <row r="26" spans="1:16" s="82" customFormat="1" ht="27.75" customHeight="1">
      <c r="A26" s="86">
        <v>9</v>
      </c>
      <c r="B26" s="83" t="s">
        <v>157</v>
      </c>
      <c r="C26" s="95">
        <f t="shared" si="0"/>
        <v>11.000385</v>
      </c>
      <c r="D26" s="96">
        <f>'1a - GNBV 2022'!C27</f>
        <v>0.00038500000000000003</v>
      </c>
      <c r="E26" s="96">
        <f>'1b - Tỷ lệ đối ứng '!E24+'1b - Tỷ lệ đối ứng '!E45</f>
        <v>11</v>
      </c>
      <c r="F26" s="86"/>
      <c r="G26" s="87"/>
      <c r="H26" s="88"/>
      <c r="I26" s="81"/>
      <c r="P26" s="89"/>
    </row>
    <row r="27" spans="1:16" s="82" customFormat="1" ht="27.75" customHeight="1">
      <c r="A27" s="86">
        <v>10</v>
      </c>
      <c r="B27" s="83" t="s">
        <v>158</v>
      </c>
      <c r="C27" s="95">
        <f t="shared" si="0"/>
        <v>10.00031</v>
      </c>
      <c r="D27" s="96">
        <f>'1a - GNBV 2022'!C28</f>
        <v>0.00031</v>
      </c>
      <c r="E27" s="96">
        <f>'1b - Tỷ lệ đối ứng '!E25+'1b - Tỷ lệ đối ứng '!E46</f>
        <v>10</v>
      </c>
      <c r="F27" s="86"/>
      <c r="G27" s="87"/>
      <c r="H27" s="88"/>
      <c r="I27" s="81"/>
      <c r="P27" s="89"/>
    </row>
    <row r="28" spans="1:16" s="82" customFormat="1" ht="27.75" customHeight="1">
      <c r="A28" s="86">
        <v>11</v>
      </c>
      <c r="B28" s="83" t="s">
        <v>159</v>
      </c>
      <c r="C28" s="95">
        <f t="shared" si="0"/>
        <v>10.000338</v>
      </c>
      <c r="D28" s="96">
        <f>'1a - GNBV 2022'!C29</f>
        <v>0.000338</v>
      </c>
      <c r="E28" s="96">
        <f>'1b - Tỷ lệ đối ứng '!E26+'1b - Tỷ lệ đối ứng '!E47</f>
        <v>10</v>
      </c>
      <c r="F28" s="86"/>
      <c r="G28" s="87"/>
      <c r="H28" s="88"/>
      <c r="I28" s="81"/>
      <c r="P28" s="89"/>
    </row>
    <row r="29" spans="1:16" s="82" customFormat="1" ht="27.75" customHeight="1">
      <c r="A29" s="86">
        <v>12</v>
      </c>
      <c r="B29" s="83" t="s">
        <v>160</v>
      </c>
      <c r="C29" s="95">
        <f t="shared" si="0"/>
        <v>11.000379</v>
      </c>
      <c r="D29" s="96">
        <f>'1a - GNBV 2022'!C30</f>
        <v>0.000379</v>
      </c>
      <c r="E29" s="96">
        <f>'1b - Tỷ lệ đối ứng '!E27+'1b - Tỷ lệ đối ứng '!E48</f>
        <v>11</v>
      </c>
      <c r="F29" s="86"/>
      <c r="G29" s="87"/>
      <c r="H29" s="88"/>
      <c r="I29" s="81"/>
      <c r="P29" s="89"/>
    </row>
    <row r="30" spans="1:16" s="82" customFormat="1" ht="27.75" customHeight="1">
      <c r="A30" s="86">
        <v>13</v>
      </c>
      <c r="B30" s="83" t="s">
        <v>161</v>
      </c>
      <c r="C30" s="95">
        <f t="shared" si="0"/>
        <v>11.000373</v>
      </c>
      <c r="D30" s="96">
        <f>'1a - GNBV 2022'!C31</f>
        <v>0.000373</v>
      </c>
      <c r="E30" s="96">
        <f>'1b - Tỷ lệ đối ứng '!E28+'1b - Tỷ lệ đối ứng '!E49</f>
        <v>11</v>
      </c>
      <c r="F30" s="86"/>
      <c r="G30" s="87"/>
      <c r="H30" s="88"/>
      <c r="I30" s="81"/>
      <c r="P30" s="89"/>
    </row>
    <row r="31" spans="1:16" s="82" customFormat="1" ht="27.75" customHeight="1">
      <c r="A31" s="86">
        <v>14</v>
      </c>
      <c r="B31" s="83" t="s">
        <v>162</v>
      </c>
      <c r="C31" s="95">
        <f t="shared" si="0"/>
        <v>11.000373</v>
      </c>
      <c r="D31" s="96">
        <f>'1a - GNBV 2022'!C32</f>
        <v>0.000373</v>
      </c>
      <c r="E31" s="96">
        <f>'1b - Tỷ lệ đối ứng '!E29+'1b - Tỷ lệ đối ứng '!E50</f>
        <v>11</v>
      </c>
      <c r="F31" s="86"/>
      <c r="G31" s="87"/>
      <c r="H31" s="88"/>
      <c r="I31" s="81"/>
      <c r="P31" s="89"/>
    </row>
    <row r="32" spans="1:16" s="82" customFormat="1" ht="27.75" customHeight="1">
      <c r="A32" s="86">
        <v>15</v>
      </c>
      <c r="B32" s="83" t="s">
        <v>163</v>
      </c>
      <c r="C32" s="95">
        <f t="shared" si="0"/>
        <v>10.00032</v>
      </c>
      <c r="D32" s="96">
        <f>'1a - GNBV 2022'!C33</f>
        <v>0.00031999999999999997</v>
      </c>
      <c r="E32" s="96">
        <f>'1b - Tỷ lệ đối ứng '!E30+'1b - Tỷ lệ đối ứng '!E51</f>
        <v>10</v>
      </c>
      <c r="F32" s="86"/>
      <c r="G32" s="87"/>
      <c r="H32" s="88"/>
      <c r="I32" s="81"/>
      <c r="P32" s="89"/>
    </row>
    <row r="33" spans="1:16" s="82" customFormat="1" ht="27.75" customHeight="1">
      <c r="A33" s="86">
        <v>16</v>
      </c>
      <c r="B33" s="83" t="s">
        <v>164</v>
      </c>
      <c r="C33" s="95">
        <f t="shared" si="0"/>
        <v>10.00032</v>
      </c>
      <c r="D33" s="96">
        <f>'1a - GNBV 2022'!C34</f>
        <v>0.00031999999999999997</v>
      </c>
      <c r="E33" s="96">
        <f>'1b - Tỷ lệ đối ứng '!E31+'1b - Tỷ lệ đối ứng '!E52</f>
        <v>10</v>
      </c>
      <c r="F33" s="86"/>
      <c r="G33" s="87"/>
      <c r="H33" s="88"/>
      <c r="I33" s="81"/>
      <c r="P33" s="89"/>
    </row>
    <row r="34" spans="1:16" s="82" customFormat="1" ht="27.75" customHeight="1">
      <c r="A34" s="86">
        <v>17</v>
      </c>
      <c r="B34" s="83" t="s">
        <v>165</v>
      </c>
      <c r="C34" s="95">
        <f t="shared" si="0"/>
        <v>10.000311</v>
      </c>
      <c r="D34" s="96">
        <f>'1a - GNBV 2022'!C35</f>
        <v>0.000311</v>
      </c>
      <c r="E34" s="96">
        <f>'1b - Tỷ lệ đối ứng '!E32+'1b - Tỷ lệ đối ứng '!E53</f>
        <v>10</v>
      </c>
      <c r="F34" s="86"/>
      <c r="G34" s="87"/>
      <c r="H34" s="88"/>
      <c r="I34" s="81"/>
      <c r="P34" s="89"/>
    </row>
    <row r="35" spans="1:16" s="82" customFormat="1" ht="27.75" customHeight="1">
      <c r="A35" s="86">
        <v>18</v>
      </c>
      <c r="B35" s="83" t="s">
        <v>166</v>
      </c>
      <c r="C35" s="95">
        <f t="shared" si="0"/>
        <v>10.00031</v>
      </c>
      <c r="D35" s="96">
        <f>'1a - GNBV 2022'!C36</f>
        <v>0.00031</v>
      </c>
      <c r="E35" s="96">
        <f>'1b - Tỷ lệ đối ứng '!E33+'1b - Tỷ lệ đối ứng '!E54</f>
        <v>10</v>
      </c>
      <c r="F35" s="86"/>
      <c r="G35" s="87"/>
      <c r="H35" s="88"/>
      <c r="I35" s="81"/>
      <c r="P35" s="89"/>
    </row>
    <row r="36" spans="1:16" s="82" customFormat="1" ht="27.75" customHeight="1">
      <c r="A36" s="86">
        <v>19</v>
      </c>
      <c r="B36" s="83" t="s">
        <v>167</v>
      </c>
      <c r="C36" s="95">
        <f t="shared" si="0"/>
        <v>7.000231</v>
      </c>
      <c r="D36" s="96">
        <f>'1a - GNBV 2022'!C37</f>
        <v>0.000231</v>
      </c>
      <c r="E36" s="96">
        <f>'1b - Tỷ lệ đối ứng '!E34+'1b - Tỷ lệ đối ứng '!E55</f>
        <v>7</v>
      </c>
      <c r="F36" s="86"/>
      <c r="G36" s="87"/>
      <c r="H36" s="88"/>
      <c r="I36" s="81"/>
      <c r="P36" s="89"/>
    </row>
    <row r="37" spans="1:8" ht="12.75" customHeight="1">
      <c r="A37" s="37"/>
      <c r="B37" s="37"/>
      <c r="C37" s="97"/>
      <c r="D37" s="98"/>
      <c r="E37" s="99"/>
      <c r="F37" s="46"/>
      <c r="G37" s="45"/>
      <c r="H37" s="37"/>
    </row>
  </sheetData>
  <sheetProtection/>
  <mergeCells count="14">
    <mergeCell ref="G6:H6"/>
    <mergeCell ref="G7:G8"/>
    <mergeCell ref="H7:H8"/>
    <mergeCell ref="A6:A8"/>
    <mergeCell ref="C6:E6"/>
    <mergeCell ref="F6:F8"/>
    <mergeCell ref="D7:E7"/>
    <mergeCell ref="C7:C8"/>
    <mergeCell ref="F13:F14"/>
    <mergeCell ref="A10:B10"/>
    <mergeCell ref="A2:F2"/>
    <mergeCell ref="A3:F3"/>
    <mergeCell ref="A4:F4"/>
    <mergeCell ref="B6:B8"/>
  </mergeCells>
  <printOptions/>
  <pageMargins left="0.54" right="0.1968503937007874" top="0.49" bottom="0.34" header="0.49" footer="0.3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52"/>
  <sheetViews>
    <sheetView zoomScale="75" zoomScaleNormal="75" zoomScalePageLayoutView="0" workbookViewId="0" topLeftCell="A1">
      <selection activeCell="A2" sqref="A2:U2"/>
    </sheetView>
  </sheetViews>
  <sheetFormatPr defaultColWidth="8.00390625" defaultRowHeight="12.75"/>
  <cols>
    <col min="1" max="1" width="5.7109375" style="145" customWidth="1"/>
    <col min="2" max="2" width="32.00390625" style="145" customWidth="1"/>
    <col min="3" max="3" width="11.140625" style="146" customWidth="1"/>
    <col min="4" max="10" width="11.140625" style="145" customWidth="1"/>
    <col min="11" max="12" width="8.57421875" style="145" customWidth="1"/>
    <col min="13" max="13" width="8.7109375" style="145" customWidth="1"/>
    <col min="14" max="14" width="8.28125" style="145" customWidth="1"/>
    <col min="15" max="15" width="9.140625" style="145" customWidth="1"/>
    <col min="16" max="16" width="9.00390625" style="145" customWidth="1"/>
    <col min="17" max="17" width="9.28125" style="145" customWidth="1"/>
    <col min="18" max="18" width="9.8515625" style="145" customWidth="1"/>
    <col min="19" max="19" width="8.421875" style="145" customWidth="1"/>
    <col min="20" max="20" width="8.28125" style="145" customWidth="1"/>
    <col min="21" max="21" width="10.00390625" style="145" customWidth="1"/>
    <col min="22" max="253" width="9.140625" style="145" customWidth="1"/>
    <col min="254" max="254" width="4.57421875" style="145" customWidth="1"/>
    <col min="255" max="255" width="19.421875" style="145" customWidth="1"/>
    <col min="256" max="16384" width="8.00390625" style="145" customWidth="1"/>
  </cols>
  <sheetData>
    <row r="1" spans="19:21" ht="19.5" customHeight="1">
      <c r="S1" s="302" t="s">
        <v>96</v>
      </c>
      <c r="T1" s="302"/>
      <c r="U1" s="302"/>
    </row>
    <row r="2" spans="1:21" s="147" customFormat="1" ht="25.5" customHeight="1">
      <c r="A2" s="304" t="s">
        <v>19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</row>
    <row r="3" spans="1:21" s="147" customFormat="1" ht="18.75">
      <c r="A3" s="305" t="str">
        <f>'1d - Tiêu chí phân bổ GNBV'!A4:R4</f>
        <v>(Kèm theo Tờ trình số:                /TTr-UBND ngày             /8/2022 của UBND huyện Tuần Giáo)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</row>
    <row r="4" spans="1:21" s="147" customFormat="1" ht="18.75" hidden="1">
      <c r="A4" s="305" t="s">
        <v>111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</row>
    <row r="5" spans="1:21" s="147" customFormat="1" ht="18.75" hidden="1">
      <c r="A5" s="305" t="s">
        <v>139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</row>
    <row r="6" spans="1:21" ht="24.75" customHeight="1">
      <c r="A6" s="148"/>
      <c r="B6" s="149"/>
      <c r="C6" s="150"/>
      <c r="D6" s="151"/>
      <c r="E6" s="149"/>
      <c r="F6" s="151"/>
      <c r="G6" s="151"/>
      <c r="H6" s="151"/>
      <c r="I6" s="151"/>
      <c r="J6" s="151"/>
      <c r="K6" s="151"/>
      <c r="L6" s="151"/>
      <c r="M6" s="151"/>
      <c r="N6" s="151"/>
      <c r="O6" s="152"/>
      <c r="P6" s="152"/>
      <c r="Q6" s="152"/>
      <c r="R6" s="303" t="s">
        <v>14</v>
      </c>
      <c r="S6" s="303"/>
      <c r="T6" s="303"/>
      <c r="U6" s="303"/>
    </row>
    <row r="7" spans="1:21" s="153" customFormat="1" ht="51.75" customHeight="1">
      <c r="A7" s="299" t="s">
        <v>26</v>
      </c>
      <c r="B7" s="299" t="s">
        <v>15</v>
      </c>
      <c r="C7" s="297" t="s">
        <v>16</v>
      </c>
      <c r="D7" s="297" t="s">
        <v>5</v>
      </c>
      <c r="E7" s="297"/>
      <c r="F7" s="292" t="s">
        <v>36</v>
      </c>
      <c r="G7" s="297" t="s">
        <v>6</v>
      </c>
      <c r="H7" s="297"/>
      <c r="I7" s="297" t="s">
        <v>7</v>
      </c>
      <c r="J7" s="297"/>
      <c r="K7" s="297"/>
      <c r="L7" s="297"/>
      <c r="M7" s="297"/>
      <c r="N7" s="297"/>
      <c r="O7" s="297" t="s">
        <v>8</v>
      </c>
      <c r="P7" s="297"/>
      <c r="Q7" s="297"/>
      <c r="R7" s="297" t="s">
        <v>11</v>
      </c>
      <c r="S7" s="297"/>
      <c r="T7" s="297"/>
      <c r="U7" s="299" t="s">
        <v>3</v>
      </c>
    </row>
    <row r="8" spans="1:21" s="153" customFormat="1" ht="51.75" customHeight="1">
      <c r="A8" s="299"/>
      <c r="B8" s="299"/>
      <c r="C8" s="297"/>
      <c r="D8" s="297" t="s">
        <v>2</v>
      </c>
      <c r="E8" s="154" t="s">
        <v>32</v>
      </c>
      <c r="F8" s="293"/>
      <c r="G8" s="299" t="s">
        <v>2</v>
      </c>
      <c r="H8" s="154" t="s">
        <v>32</v>
      </c>
      <c r="I8" s="295" t="s">
        <v>2</v>
      </c>
      <c r="J8" s="298" t="s">
        <v>35</v>
      </c>
      <c r="K8" s="298"/>
      <c r="L8" s="298"/>
      <c r="M8" s="298" t="s">
        <v>33</v>
      </c>
      <c r="N8" s="298" t="s">
        <v>34</v>
      </c>
      <c r="O8" s="299" t="s">
        <v>2</v>
      </c>
      <c r="P8" s="297" t="s">
        <v>38</v>
      </c>
      <c r="Q8" s="297"/>
      <c r="R8" s="299" t="s">
        <v>2</v>
      </c>
      <c r="S8" s="297" t="s">
        <v>37</v>
      </c>
      <c r="T8" s="297"/>
      <c r="U8" s="299"/>
    </row>
    <row r="9" spans="1:21" s="153" customFormat="1" ht="124.5" customHeight="1">
      <c r="A9" s="299"/>
      <c r="B9" s="299"/>
      <c r="C9" s="297"/>
      <c r="D9" s="297"/>
      <c r="E9" s="154" t="s">
        <v>18</v>
      </c>
      <c r="F9" s="294"/>
      <c r="G9" s="299"/>
      <c r="H9" s="154" t="s">
        <v>17</v>
      </c>
      <c r="I9" s="296"/>
      <c r="J9" s="155" t="s">
        <v>2</v>
      </c>
      <c r="K9" s="155" t="s">
        <v>25</v>
      </c>
      <c r="L9" s="155" t="s">
        <v>20</v>
      </c>
      <c r="M9" s="298"/>
      <c r="N9" s="298"/>
      <c r="O9" s="299"/>
      <c r="P9" s="154" t="s">
        <v>9</v>
      </c>
      <c r="Q9" s="154" t="s">
        <v>10</v>
      </c>
      <c r="R9" s="299"/>
      <c r="S9" s="154" t="s">
        <v>12</v>
      </c>
      <c r="T9" s="154" t="s">
        <v>13</v>
      </c>
      <c r="U9" s="299"/>
    </row>
    <row r="10" spans="1:21" s="158" customFormat="1" ht="48" customHeight="1">
      <c r="A10" s="156" t="s">
        <v>0</v>
      </c>
      <c r="B10" s="156" t="s">
        <v>1</v>
      </c>
      <c r="C10" s="157" t="s">
        <v>29</v>
      </c>
      <c r="D10" s="157" t="s">
        <v>30</v>
      </c>
      <c r="E10" s="157">
        <v>3</v>
      </c>
      <c r="F10" s="157">
        <v>4</v>
      </c>
      <c r="G10" s="157" t="s">
        <v>31</v>
      </c>
      <c r="H10" s="157">
        <v>6</v>
      </c>
      <c r="I10" s="157" t="s">
        <v>21</v>
      </c>
      <c r="J10" s="157" t="s">
        <v>22</v>
      </c>
      <c r="K10" s="157">
        <v>9</v>
      </c>
      <c r="L10" s="157">
        <v>10</v>
      </c>
      <c r="M10" s="157">
        <v>11</v>
      </c>
      <c r="N10" s="157">
        <v>12</v>
      </c>
      <c r="O10" s="157" t="s">
        <v>23</v>
      </c>
      <c r="P10" s="157">
        <v>14</v>
      </c>
      <c r="Q10" s="157">
        <v>15</v>
      </c>
      <c r="R10" s="157" t="s">
        <v>24</v>
      </c>
      <c r="S10" s="157">
        <v>17</v>
      </c>
      <c r="T10" s="157">
        <v>18</v>
      </c>
      <c r="U10" s="156" t="s">
        <v>4</v>
      </c>
    </row>
    <row r="11" spans="1:23" s="163" customFormat="1" ht="30.75" customHeight="1">
      <c r="A11" s="300" t="s">
        <v>43</v>
      </c>
      <c r="B11" s="301"/>
      <c r="C11" s="159">
        <f>SUM(D11,F11,G11,I11,O11,R11)</f>
        <v>6396.0062880000005</v>
      </c>
      <c r="D11" s="159">
        <f aca="true" t="shared" si="0" ref="D11:T11">SUM(D12,D18)</f>
        <v>1972</v>
      </c>
      <c r="E11" s="159">
        <f t="shared" si="0"/>
        <v>1972</v>
      </c>
      <c r="F11" s="159">
        <f t="shared" si="0"/>
        <v>0.004416</v>
      </c>
      <c r="G11" s="159">
        <f t="shared" si="0"/>
        <v>0.0018720000000000002</v>
      </c>
      <c r="H11" s="159">
        <f t="shared" si="0"/>
        <v>0.0018720000000000002</v>
      </c>
      <c r="I11" s="159">
        <f t="shared" si="0"/>
        <v>2991</v>
      </c>
      <c r="J11" s="159">
        <f t="shared" si="0"/>
        <v>2285</v>
      </c>
      <c r="K11" s="159">
        <f t="shared" si="0"/>
        <v>1143</v>
      </c>
      <c r="L11" s="159">
        <f t="shared" si="0"/>
        <v>1142</v>
      </c>
      <c r="M11" s="159">
        <f t="shared" si="0"/>
        <v>276</v>
      </c>
      <c r="N11" s="159">
        <f t="shared" si="0"/>
        <v>430</v>
      </c>
      <c r="O11" s="159">
        <f t="shared" si="0"/>
        <v>446</v>
      </c>
      <c r="P11" s="159">
        <f t="shared" si="0"/>
        <v>370</v>
      </c>
      <c r="Q11" s="159">
        <f t="shared" si="0"/>
        <v>76</v>
      </c>
      <c r="R11" s="159">
        <f t="shared" si="0"/>
        <v>987</v>
      </c>
      <c r="S11" s="159">
        <f t="shared" si="0"/>
        <v>645</v>
      </c>
      <c r="T11" s="159">
        <f t="shared" si="0"/>
        <v>342</v>
      </c>
      <c r="U11" s="160"/>
      <c r="V11" s="161"/>
      <c r="W11" s="162"/>
    </row>
    <row r="12" spans="1:23" s="163" customFormat="1" ht="24.75" customHeight="1">
      <c r="A12" s="164" t="s">
        <v>39</v>
      </c>
      <c r="B12" s="165" t="s">
        <v>40</v>
      </c>
      <c r="C12" s="166">
        <f>SUM(C13:C17)</f>
        <v>6396</v>
      </c>
      <c r="D12" s="166">
        <f aca="true" t="shared" si="1" ref="D12:T12">SUM(D13:D17)</f>
        <v>1972</v>
      </c>
      <c r="E12" s="166">
        <f t="shared" si="1"/>
        <v>1972</v>
      </c>
      <c r="F12" s="166"/>
      <c r="G12" s="166"/>
      <c r="H12" s="166"/>
      <c r="I12" s="166">
        <f t="shared" si="1"/>
        <v>2991</v>
      </c>
      <c r="J12" s="166">
        <f t="shared" si="1"/>
        <v>2285</v>
      </c>
      <c r="K12" s="166">
        <f t="shared" si="1"/>
        <v>1143</v>
      </c>
      <c r="L12" s="166">
        <f t="shared" si="1"/>
        <v>1142</v>
      </c>
      <c r="M12" s="166">
        <f t="shared" si="1"/>
        <v>276</v>
      </c>
      <c r="N12" s="166">
        <f t="shared" si="1"/>
        <v>430</v>
      </c>
      <c r="O12" s="166">
        <f t="shared" si="1"/>
        <v>446</v>
      </c>
      <c r="P12" s="166">
        <f t="shared" si="1"/>
        <v>370</v>
      </c>
      <c r="Q12" s="166">
        <f t="shared" si="1"/>
        <v>76</v>
      </c>
      <c r="R12" s="166">
        <f t="shared" si="1"/>
        <v>987</v>
      </c>
      <c r="S12" s="166">
        <f t="shared" si="1"/>
        <v>645</v>
      </c>
      <c r="T12" s="166">
        <f t="shared" si="1"/>
        <v>342</v>
      </c>
      <c r="U12" s="166"/>
      <c r="V12" s="161"/>
      <c r="W12" s="162"/>
    </row>
    <row r="13" spans="1:22" s="173" customFormat="1" ht="24" customHeight="1">
      <c r="A13" s="167">
        <v>1</v>
      </c>
      <c r="B13" s="168" t="s">
        <v>27</v>
      </c>
      <c r="C13" s="169">
        <f>SUM(D13,F13,G13,I13,O13,R13)</f>
        <v>1998</v>
      </c>
      <c r="D13" s="169"/>
      <c r="E13" s="170"/>
      <c r="F13" s="170"/>
      <c r="G13" s="170"/>
      <c r="H13" s="170"/>
      <c r="I13" s="170">
        <f>SUM(J13,M13,N13)</f>
        <v>935</v>
      </c>
      <c r="J13" s="170">
        <f>SUM(K13:L13)</f>
        <v>229</v>
      </c>
      <c r="K13" s="170">
        <v>229</v>
      </c>
      <c r="L13" s="170"/>
      <c r="M13" s="170">
        <v>276</v>
      </c>
      <c r="N13" s="170">
        <v>430</v>
      </c>
      <c r="O13" s="170">
        <f>SUM(P13,Q13)</f>
        <v>76</v>
      </c>
      <c r="P13" s="170"/>
      <c r="Q13" s="170">
        <v>76</v>
      </c>
      <c r="R13" s="171">
        <f>SUM(S13,T13)</f>
        <v>987</v>
      </c>
      <c r="S13" s="170">
        <v>645</v>
      </c>
      <c r="T13" s="170">
        <v>342</v>
      </c>
      <c r="U13" s="170"/>
      <c r="V13" s="172"/>
    </row>
    <row r="14" spans="1:22" s="173" customFormat="1" ht="24" customHeight="1">
      <c r="A14" s="167">
        <v>2</v>
      </c>
      <c r="B14" s="168" t="s">
        <v>122</v>
      </c>
      <c r="C14" s="169">
        <f>SUM(D14,F14,G14,I14,O14,R14)</f>
        <v>1000</v>
      </c>
      <c r="D14" s="169">
        <f>E14</f>
        <v>1000</v>
      </c>
      <c r="E14" s="170">
        <v>1000</v>
      </c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1"/>
      <c r="S14" s="170"/>
      <c r="T14" s="170"/>
      <c r="U14" s="170"/>
      <c r="V14" s="172"/>
    </row>
    <row r="15" spans="1:22" s="173" customFormat="1" ht="24" customHeight="1">
      <c r="A15" s="167">
        <v>3</v>
      </c>
      <c r="B15" s="168" t="s">
        <v>145</v>
      </c>
      <c r="C15" s="169">
        <f>SUM(D15,F15,G15,I15,O15,R15)</f>
        <v>972</v>
      </c>
      <c r="D15" s="169">
        <f>E15</f>
        <v>972</v>
      </c>
      <c r="E15" s="170">
        <v>972</v>
      </c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1"/>
      <c r="S15" s="170"/>
      <c r="T15" s="170"/>
      <c r="U15" s="170"/>
      <c r="V15" s="172"/>
    </row>
    <row r="16" spans="1:22" s="173" customFormat="1" ht="24" customHeight="1">
      <c r="A16" s="167">
        <v>4</v>
      </c>
      <c r="B16" s="168" t="s">
        <v>28</v>
      </c>
      <c r="C16" s="169">
        <f aca="true" t="shared" si="2" ref="C16:C37">SUM(D16,F16,G16,I16,O16,R16)</f>
        <v>2056</v>
      </c>
      <c r="D16" s="169"/>
      <c r="E16" s="170"/>
      <c r="F16" s="170"/>
      <c r="G16" s="170"/>
      <c r="H16" s="170"/>
      <c r="I16" s="170">
        <f>SUM(J16,M16,N16)</f>
        <v>2056</v>
      </c>
      <c r="J16" s="170">
        <f>SUM(K16:L16)</f>
        <v>2056</v>
      </c>
      <c r="K16" s="170">
        <v>914</v>
      </c>
      <c r="L16" s="170">
        <v>1142</v>
      </c>
      <c r="M16" s="170"/>
      <c r="N16" s="170"/>
      <c r="O16" s="170"/>
      <c r="P16" s="170"/>
      <c r="Q16" s="170"/>
      <c r="R16" s="171"/>
      <c r="S16" s="170"/>
      <c r="T16" s="170"/>
      <c r="U16" s="170"/>
      <c r="V16" s="172"/>
    </row>
    <row r="17" spans="1:23" s="173" customFormat="1" ht="24" customHeight="1">
      <c r="A17" s="167">
        <v>5</v>
      </c>
      <c r="B17" s="168" t="s">
        <v>44</v>
      </c>
      <c r="C17" s="169">
        <f t="shared" si="2"/>
        <v>370</v>
      </c>
      <c r="D17" s="169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>
        <f>SUM(P17,Q17)</f>
        <v>370</v>
      </c>
      <c r="P17" s="170">
        <v>370</v>
      </c>
      <c r="Q17" s="170"/>
      <c r="R17" s="171"/>
      <c r="S17" s="170"/>
      <c r="T17" s="170"/>
      <c r="U17" s="171"/>
      <c r="V17" s="172"/>
      <c r="W17" s="174"/>
    </row>
    <row r="18" spans="1:23" s="163" customFormat="1" ht="24" customHeight="1">
      <c r="A18" s="175" t="s">
        <v>41</v>
      </c>
      <c r="B18" s="176" t="s">
        <v>42</v>
      </c>
      <c r="C18" s="177">
        <f>SUM(C19:C37)</f>
        <v>0.006288</v>
      </c>
      <c r="D18" s="177"/>
      <c r="E18" s="177"/>
      <c r="F18" s="177">
        <f>SUM(F19:F37)</f>
        <v>0.004416</v>
      </c>
      <c r="G18" s="177">
        <f>SUM(G19:G37)</f>
        <v>0.0018720000000000002</v>
      </c>
      <c r="H18" s="177">
        <f>SUM(H19:H37)</f>
        <v>0.0018720000000000002</v>
      </c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61"/>
      <c r="W18" s="162"/>
    </row>
    <row r="19" spans="1:23" s="173" customFormat="1" ht="24" customHeight="1">
      <c r="A19" s="167">
        <v>1</v>
      </c>
      <c r="B19" s="168" t="s">
        <v>161</v>
      </c>
      <c r="C19" s="169">
        <f t="shared" si="2"/>
        <v>0.000352</v>
      </c>
      <c r="D19" s="169"/>
      <c r="E19" s="170"/>
      <c r="F19" s="170">
        <f>'1d - Tiêu chí phân bổ GNBV'!P12/1000000</f>
        <v>0.000247</v>
      </c>
      <c r="G19" s="170">
        <f aca="true" t="shared" si="3" ref="G19:G37">H19</f>
        <v>0.000105</v>
      </c>
      <c r="H19" s="170">
        <f>'1d - Tiêu chí phân bổ GNBV'!Q12/1000000</f>
        <v>0.000105</v>
      </c>
      <c r="I19" s="170"/>
      <c r="J19" s="170"/>
      <c r="K19" s="170"/>
      <c r="L19" s="170"/>
      <c r="M19" s="170"/>
      <c r="N19" s="170"/>
      <c r="O19" s="170"/>
      <c r="P19" s="170"/>
      <c r="Q19" s="170"/>
      <c r="R19" s="171"/>
      <c r="S19" s="170"/>
      <c r="T19" s="170"/>
      <c r="U19" s="171"/>
      <c r="V19" s="172"/>
      <c r="W19" s="174"/>
    </row>
    <row r="20" spans="1:23" s="173" customFormat="1" ht="24" customHeight="1">
      <c r="A20" s="167">
        <v>2</v>
      </c>
      <c r="B20" s="168" t="s">
        <v>160</v>
      </c>
      <c r="C20" s="169">
        <f t="shared" si="2"/>
        <v>0.000347</v>
      </c>
      <c r="D20" s="169"/>
      <c r="E20" s="170"/>
      <c r="F20" s="170">
        <f>'1d - Tiêu chí phân bổ GNBV'!P13/1000000</f>
        <v>0.000244</v>
      </c>
      <c r="G20" s="170">
        <f t="shared" si="3"/>
        <v>0.000103</v>
      </c>
      <c r="H20" s="170">
        <f>'1d - Tiêu chí phân bổ GNBV'!Q13/1000000</f>
        <v>0.000103</v>
      </c>
      <c r="I20" s="170"/>
      <c r="J20" s="170"/>
      <c r="K20" s="170"/>
      <c r="L20" s="170"/>
      <c r="M20" s="170"/>
      <c r="N20" s="170"/>
      <c r="O20" s="170"/>
      <c r="P20" s="170"/>
      <c r="Q20" s="170"/>
      <c r="R20" s="171"/>
      <c r="S20" s="170"/>
      <c r="T20" s="170"/>
      <c r="U20" s="171"/>
      <c r="V20" s="172"/>
      <c r="W20" s="174"/>
    </row>
    <row r="21" spans="1:23" s="173" customFormat="1" ht="24" customHeight="1">
      <c r="A21" s="167">
        <v>3</v>
      </c>
      <c r="B21" s="168" t="s">
        <v>163</v>
      </c>
      <c r="C21" s="169">
        <f t="shared" si="2"/>
        <v>0.000342</v>
      </c>
      <c r="D21" s="169"/>
      <c r="E21" s="170"/>
      <c r="F21" s="170">
        <f>'1d - Tiêu chí phân bổ GNBV'!P14/1000000</f>
        <v>0.00024</v>
      </c>
      <c r="G21" s="170">
        <f t="shared" si="3"/>
        <v>0.000102</v>
      </c>
      <c r="H21" s="170">
        <f>'1d - Tiêu chí phân bổ GNBV'!Q14/1000000</f>
        <v>0.000102</v>
      </c>
      <c r="I21" s="170"/>
      <c r="J21" s="170"/>
      <c r="K21" s="170"/>
      <c r="L21" s="170"/>
      <c r="M21" s="170"/>
      <c r="N21" s="170"/>
      <c r="O21" s="170"/>
      <c r="P21" s="170"/>
      <c r="Q21" s="170"/>
      <c r="R21" s="171"/>
      <c r="S21" s="170"/>
      <c r="T21" s="170"/>
      <c r="U21" s="171"/>
      <c r="V21" s="172"/>
      <c r="W21" s="174"/>
    </row>
    <row r="22" spans="1:23" s="173" customFormat="1" ht="24" customHeight="1">
      <c r="A22" s="167">
        <v>4</v>
      </c>
      <c r="B22" s="168" t="s">
        <v>164</v>
      </c>
      <c r="C22" s="169">
        <f t="shared" si="2"/>
        <v>0.000322</v>
      </c>
      <c r="D22" s="169"/>
      <c r="E22" s="170"/>
      <c r="F22" s="170">
        <f>'1d - Tiêu chí phân bổ GNBV'!P15/1000000</f>
        <v>0.000226</v>
      </c>
      <c r="G22" s="170">
        <f t="shared" si="3"/>
        <v>9.6E-05</v>
      </c>
      <c r="H22" s="170">
        <f>'1d - Tiêu chí phân bổ GNBV'!Q15/1000000</f>
        <v>9.6E-05</v>
      </c>
      <c r="I22" s="170"/>
      <c r="J22" s="170"/>
      <c r="K22" s="170"/>
      <c r="L22" s="170"/>
      <c r="M22" s="170"/>
      <c r="N22" s="170"/>
      <c r="O22" s="170"/>
      <c r="P22" s="170"/>
      <c r="Q22" s="170"/>
      <c r="R22" s="171"/>
      <c r="S22" s="170"/>
      <c r="T22" s="170"/>
      <c r="U22" s="171"/>
      <c r="V22" s="172"/>
      <c r="W22" s="174"/>
    </row>
    <row r="23" spans="1:23" s="173" customFormat="1" ht="24" customHeight="1">
      <c r="A23" s="167">
        <v>5</v>
      </c>
      <c r="B23" s="168" t="s">
        <v>167</v>
      </c>
      <c r="C23" s="169">
        <f t="shared" si="2"/>
        <v>0.000336</v>
      </c>
      <c r="D23" s="169"/>
      <c r="E23" s="170"/>
      <c r="F23" s="170">
        <f>'1d - Tiêu chí phân bổ GNBV'!P16/1000000</f>
        <v>0.000236</v>
      </c>
      <c r="G23" s="170">
        <f t="shared" si="3"/>
        <v>0.0001</v>
      </c>
      <c r="H23" s="170">
        <f>'1d - Tiêu chí phân bổ GNBV'!Q16/1000000</f>
        <v>0.0001</v>
      </c>
      <c r="I23" s="170"/>
      <c r="J23" s="170"/>
      <c r="K23" s="170"/>
      <c r="L23" s="170"/>
      <c r="M23" s="170"/>
      <c r="N23" s="170"/>
      <c r="O23" s="170"/>
      <c r="P23" s="170"/>
      <c r="Q23" s="170"/>
      <c r="R23" s="171"/>
      <c r="S23" s="170"/>
      <c r="T23" s="170"/>
      <c r="U23" s="171"/>
      <c r="V23" s="172"/>
      <c r="W23" s="174"/>
    </row>
    <row r="24" spans="1:23" s="173" customFormat="1" ht="24" customHeight="1">
      <c r="A24" s="167">
        <v>6</v>
      </c>
      <c r="B24" s="168" t="s">
        <v>166</v>
      </c>
      <c r="C24" s="169">
        <f t="shared" si="2"/>
        <v>0.000299</v>
      </c>
      <c r="D24" s="169"/>
      <c r="E24" s="170"/>
      <c r="F24" s="170">
        <f>'1d - Tiêu chí phân bổ GNBV'!P17/1000000</f>
        <v>0.00021</v>
      </c>
      <c r="G24" s="170">
        <f t="shared" si="3"/>
        <v>8.9E-05</v>
      </c>
      <c r="H24" s="170">
        <f>'1d - Tiêu chí phân bổ GNBV'!Q17/1000000</f>
        <v>8.9E-05</v>
      </c>
      <c r="I24" s="170"/>
      <c r="J24" s="170"/>
      <c r="K24" s="170"/>
      <c r="L24" s="170"/>
      <c r="M24" s="170"/>
      <c r="N24" s="170"/>
      <c r="O24" s="170"/>
      <c r="P24" s="170"/>
      <c r="Q24" s="170"/>
      <c r="R24" s="171"/>
      <c r="S24" s="170"/>
      <c r="T24" s="170"/>
      <c r="U24" s="171"/>
      <c r="V24" s="172"/>
      <c r="W24" s="174"/>
    </row>
    <row r="25" spans="1:23" s="173" customFormat="1" ht="24" customHeight="1">
      <c r="A25" s="167">
        <v>7</v>
      </c>
      <c r="B25" s="168" t="s">
        <v>165</v>
      </c>
      <c r="C25" s="169">
        <f t="shared" si="2"/>
        <v>0.00031999999999999997</v>
      </c>
      <c r="D25" s="169"/>
      <c r="E25" s="170"/>
      <c r="F25" s="170">
        <f>'1d - Tiêu chí phân bổ GNBV'!P18/1000000</f>
        <v>0.000225</v>
      </c>
      <c r="G25" s="170">
        <f t="shared" si="3"/>
        <v>9.5E-05</v>
      </c>
      <c r="H25" s="170">
        <f>'1d - Tiêu chí phân bổ GNBV'!Q18/1000000</f>
        <v>9.5E-05</v>
      </c>
      <c r="I25" s="170"/>
      <c r="J25" s="170"/>
      <c r="K25" s="170"/>
      <c r="L25" s="170"/>
      <c r="M25" s="170"/>
      <c r="N25" s="170"/>
      <c r="O25" s="170"/>
      <c r="P25" s="170"/>
      <c r="Q25" s="170"/>
      <c r="R25" s="171"/>
      <c r="S25" s="170"/>
      <c r="T25" s="170"/>
      <c r="U25" s="171"/>
      <c r="V25" s="172"/>
      <c r="W25" s="174"/>
    </row>
    <row r="26" spans="1:23" s="173" customFormat="1" ht="24" customHeight="1">
      <c r="A26" s="167">
        <v>8</v>
      </c>
      <c r="B26" s="168" t="s">
        <v>162</v>
      </c>
      <c r="C26" s="169">
        <f t="shared" si="2"/>
        <v>0.00031999999999999997</v>
      </c>
      <c r="D26" s="169"/>
      <c r="E26" s="170"/>
      <c r="F26" s="170">
        <f>'1d - Tiêu chí phân bổ GNBV'!P19/1000000</f>
        <v>0.000225</v>
      </c>
      <c r="G26" s="170">
        <f t="shared" si="3"/>
        <v>9.5E-05</v>
      </c>
      <c r="H26" s="170">
        <f>'1d - Tiêu chí phân bổ GNBV'!Q19/1000000</f>
        <v>9.5E-05</v>
      </c>
      <c r="I26" s="170"/>
      <c r="J26" s="170"/>
      <c r="K26" s="170"/>
      <c r="L26" s="170"/>
      <c r="M26" s="170"/>
      <c r="N26" s="170"/>
      <c r="O26" s="170"/>
      <c r="P26" s="170"/>
      <c r="Q26" s="170"/>
      <c r="R26" s="171"/>
      <c r="S26" s="170"/>
      <c r="T26" s="170"/>
      <c r="U26" s="171"/>
      <c r="V26" s="172"/>
      <c r="W26" s="174"/>
    </row>
    <row r="27" spans="1:23" s="173" customFormat="1" ht="24" customHeight="1">
      <c r="A27" s="167">
        <v>9</v>
      </c>
      <c r="B27" s="168" t="s">
        <v>150</v>
      </c>
      <c r="C27" s="169">
        <f t="shared" si="2"/>
        <v>0.00038500000000000003</v>
      </c>
      <c r="D27" s="169"/>
      <c r="E27" s="170"/>
      <c r="F27" s="170">
        <f>'1d - Tiêu chí phân bổ GNBV'!P20/1000000</f>
        <v>0.00027</v>
      </c>
      <c r="G27" s="170">
        <f t="shared" si="3"/>
        <v>0.000115</v>
      </c>
      <c r="H27" s="170">
        <f>'1d - Tiêu chí phân bổ GNBV'!Q20/1000000</f>
        <v>0.000115</v>
      </c>
      <c r="I27" s="170"/>
      <c r="J27" s="170"/>
      <c r="K27" s="170"/>
      <c r="L27" s="170"/>
      <c r="M27" s="170"/>
      <c r="N27" s="170"/>
      <c r="O27" s="170"/>
      <c r="P27" s="170"/>
      <c r="Q27" s="170"/>
      <c r="R27" s="171"/>
      <c r="S27" s="170"/>
      <c r="T27" s="170"/>
      <c r="U27" s="171"/>
      <c r="V27" s="172"/>
      <c r="W27" s="174"/>
    </row>
    <row r="28" spans="1:23" s="173" customFormat="1" ht="24" customHeight="1">
      <c r="A28" s="167">
        <v>10</v>
      </c>
      <c r="B28" s="168" t="s">
        <v>153</v>
      </c>
      <c r="C28" s="169">
        <f t="shared" si="2"/>
        <v>0.00031</v>
      </c>
      <c r="D28" s="169"/>
      <c r="E28" s="170"/>
      <c r="F28" s="170">
        <f>'1d - Tiêu chí phân bổ GNBV'!P21/1000000</f>
        <v>0.000218</v>
      </c>
      <c r="G28" s="170">
        <f t="shared" si="3"/>
        <v>9.2E-05</v>
      </c>
      <c r="H28" s="170">
        <f>'1d - Tiêu chí phân bổ GNBV'!Q21/1000000</f>
        <v>9.2E-05</v>
      </c>
      <c r="I28" s="170"/>
      <c r="J28" s="170"/>
      <c r="K28" s="170"/>
      <c r="L28" s="170"/>
      <c r="M28" s="170"/>
      <c r="N28" s="170"/>
      <c r="O28" s="170"/>
      <c r="P28" s="170"/>
      <c r="Q28" s="170"/>
      <c r="R28" s="171"/>
      <c r="S28" s="170"/>
      <c r="T28" s="170"/>
      <c r="U28" s="171"/>
      <c r="V28" s="172"/>
      <c r="W28" s="174"/>
    </row>
    <row r="29" spans="1:23" s="173" customFormat="1" ht="24" customHeight="1">
      <c r="A29" s="167">
        <v>11</v>
      </c>
      <c r="B29" s="168" t="s">
        <v>157</v>
      </c>
      <c r="C29" s="169">
        <f t="shared" si="2"/>
        <v>0.000338</v>
      </c>
      <c r="D29" s="169"/>
      <c r="E29" s="170"/>
      <c r="F29" s="170">
        <f>'1d - Tiêu chí phân bổ GNBV'!P22/1000000</f>
        <v>0.000237</v>
      </c>
      <c r="G29" s="170">
        <f t="shared" si="3"/>
        <v>0.000101</v>
      </c>
      <c r="H29" s="170">
        <f>'1d - Tiêu chí phân bổ GNBV'!Q22/1000000</f>
        <v>0.000101</v>
      </c>
      <c r="I29" s="170"/>
      <c r="J29" s="170"/>
      <c r="K29" s="170"/>
      <c r="L29" s="170"/>
      <c r="M29" s="170"/>
      <c r="N29" s="170"/>
      <c r="O29" s="170"/>
      <c r="P29" s="170"/>
      <c r="Q29" s="170"/>
      <c r="R29" s="171"/>
      <c r="S29" s="170"/>
      <c r="T29" s="170"/>
      <c r="U29" s="171"/>
      <c r="V29" s="172"/>
      <c r="W29" s="174"/>
    </row>
    <row r="30" spans="1:23" s="173" customFormat="1" ht="24" customHeight="1">
      <c r="A30" s="167">
        <v>12</v>
      </c>
      <c r="B30" s="168" t="s">
        <v>156</v>
      </c>
      <c r="C30" s="169">
        <f t="shared" si="2"/>
        <v>0.000379</v>
      </c>
      <c r="D30" s="169"/>
      <c r="E30" s="170"/>
      <c r="F30" s="170">
        <f>'1d - Tiêu chí phân bổ GNBV'!P23/1000000</f>
        <v>0.000266</v>
      </c>
      <c r="G30" s="170">
        <f t="shared" si="3"/>
        <v>0.000113</v>
      </c>
      <c r="H30" s="170">
        <f>'1d - Tiêu chí phân bổ GNBV'!Q23/1000000</f>
        <v>0.000113</v>
      </c>
      <c r="I30" s="170"/>
      <c r="J30" s="170"/>
      <c r="K30" s="170"/>
      <c r="L30" s="170"/>
      <c r="M30" s="170"/>
      <c r="N30" s="170"/>
      <c r="O30" s="170"/>
      <c r="P30" s="170"/>
      <c r="Q30" s="170"/>
      <c r="R30" s="171"/>
      <c r="S30" s="170"/>
      <c r="T30" s="170"/>
      <c r="U30" s="171"/>
      <c r="V30" s="172"/>
      <c r="W30" s="174"/>
    </row>
    <row r="31" spans="1:23" s="173" customFormat="1" ht="24" customHeight="1">
      <c r="A31" s="167">
        <v>13</v>
      </c>
      <c r="B31" s="168" t="s">
        <v>154</v>
      </c>
      <c r="C31" s="169">
        <f t="shared" si="2"/>
        <v>0.000373</v>
      </c>
      <c r="D31" s="169"/>
      <c r="E31" s="170"/>
      <c r="F31" s="170">
        <f>'1d - Tiêu chí phân bổ GNBV'!P24/1000000</f>
        <v>0.000262</v>
      </c>
      <c r="G31" s="170">
        <f t="shared" si="3"/>
        <v>0.000111</v>
      </c>
      <c r="H31" s="170">
        <f>'1d - Tiêu chí phân bổ GNBV'!Q24/1000000</f>
        <v>0.000111</v>
      </c>
      <c r="I31" s="170"/>
      <c r="J31" s="170"/>
      <c r="K31" s="170"/>
      <c r="L31" s="170"/>
      <c r="M31" s="170"/>
      <c r="N31" s="170"/>
      <c r="O31" s="170"/>
      <c r="P31" s="170"/>
      <c r="Q31" s="170"/>
      <c r="R31" s="171"/>
      <c r="S31" s="170"/>
      <c r="T31" s="170"/>
      <c r="U31" s="171"/>
      <c r="V31" s="172"/>
      <c r="W31" s="174"/>
    </row>
    <row r="32" spans="1:23" s="173" customFormat="1" ht="24" customHeight="1">
      <c r="A32" s="167">
        <v>14</v>
      </c>
      <c r="B32" s="168" t="s">
        <v>155</v>
      </c>
      <c r="C32" s="169">
        <f t="shared" si="2"/>
        <v>0.000373</v>
      </c>
      <c r="D32" s="169"/>
      <c r="E32" s="170"/>
      <c r="F32" s="170">
        <f>'1d - Tiêu chí phân bổ GNBV'!P25/1000000</f>
        <v>0.000262</v>
      </c>
      <c r="G32" s="170">
        <f t="shared" si="3"/>
        <v>0.000111</v>
      </c>
      <c r="H32" s="170">
        <f>'1d - Tiêu chí phân bổ GNBV'!Q25/1000000</f>
        <v>0.000111</v>
      </c>
      <c r="I32" s="170"/>
      <c r="J32" s="170"/>
      <c r="K32" s="170"/>
      <c r="L32" s="170"/>
      <c r="M32" s="170"/>
      <c r="N32" s="170"/>
      <c r="O32" s="170"/>
      <c r="P32" s="170"/>
      <c r="Q32" s="170"/>
      <c r="R32" s="171"/>
      <c r="S32" s="170"/>
      <c r="T32" s="170"/>
      <c r="U32" s="171"/>
      <c r="V32" s="172"/>
      <c r="W32" s="174"/>
    </row>
    <row r="33" spans="1:23" s="173" customFormat="1" ht="24" customHeight="1">
      <c r="A33" s="167">
        <v>15</v>
      </c>
      <c r="B33" s="168" t="s">
        <v>151</v>
      </c>
      <c r="C33" s="169">
        <f t="shared" si="2"/>
        <v>0.00031999999999999997</v>
      </c>
      <c r="D33" s="169"/>
      <c r="E33" s="170"/>
      <c r="F33" s="170">
        <f>'1d - Tiêu chí phân bổ GNBV'!P26/1000000</f>
        <v>0.000225</v>
      </c>
      <c r="G33" s="170">
        <f t="shared" si="3"/>
        <v>9.5E-05</v>
      </c>
      <c r="H33" s="170">
        <f>'1d - Tiêu chí phân bổ GNBV'!Q26/1000000</f>
        <v>9.5E-05</v>
      </c>
      <c r="I33" s="170"/>
      <c r="J33" s="170"/>
      <c r="K33" s="170"/>
      <c r="L33" s="170"/>
      <c r="M33" s="170"/>
      <c r="N33" s="170"/>
      <c r="O33" s="170"/>
      <c r="P33" s="170"/>
      <c r="Q33" s="170"/>
      <c r="R33" s="171"/>
      <c r="S33" s="170"/>
      <c r="T33" s="170"/>
      <c r="U33" s="171"/>
      <c r="V33" s="172"/>
      <c r="W33" s="174"/>
    </row>
    <row r="34" spans="1:23" s="173" customFormat="1" ht="24" customHeight="1">
      <c r="A34" s="167">
        <v>16</v>
      </c>
      <c r="B34" s="168" t="s">
        <v>152</v>
      </c>
      <c r="C34" s="169">
        <f t="shared" si="2"/>
        <v>0.00031999999999999997</v>
      </c>
      <c r="D34" s="169"/>
      <c r="E34" s="170"/>
      <c r="F34" s="170">
        <f>'1d - Tiêu chí phân bổ GNBV'!P27/1000000</f>
        <v>0.000225</v>
      </c>
      <c r="G34" s="170">
        <f t="shared" si="3"/>
        <v>9.5E-05</v>
      </c>
      <c r="H34" s="170">
        <f>'1d - Tiêu chí phân bổ GNBV'!Q27/1000000</f>
        <v>9.5E-05</v>
      </c>
      <c r="I34" s="170"/>
      <c r="J34" s="170"/>
      <c r="K34" s="170"/>
      <c r="L34" s="170"/>
      <c r="M34" s="170"/>
      <c r="N34" s="170"/>
      <c r="O34" s="170"/>
      <c r="P34" s="170"/>
      <c r="Q34" s="170"/>
      <c r="R34" s="171"/>
      <c r="S34" s="170"/>
      <c r="T34" s="170"/>
      <c r="U34" s="171"/>
      <c r="V34" s="172"/>
      <c r="W34" s="174"/>
    </row>
    <row r="35" spans="1:23" s="173" customFormat="1" ht="24" customHeight="1">
      <c r="A35" s="167">
        <v>17</v>
      </c>
      <c r="B35" s="168" t="s">
        <v>159</v>
      </c>
      <c r="C35" s="169">
        <f t="shared" si="2"/>
        <v>0.000311</v>
      </c>
      <c r="D35" s="169"/>
      <c r="E35" s="170"/>
      <c r="F35" s="170">
        <f>'1d - Tiêu chí phân bổ GNBV'!P28/1000000</f>
        <v>0.000218</v>
      </c>
      <c r="G35" s="170">
        <f t="shared" si="3"/>
        <v>9.3E-05</v>
      </c>
      <c r="H35" s="170">
        <f>'1d - Tiêu chí phân bổ GNBV'!Q28/1000000</f>
        <v>9.3E-05</v>
      </c>
      <c r="I35" s="170"/>
      <c r="J35" s="170"/>
      <c r="K35" s="170"/>
      <c r="L35" s="170"/>
      <c r="M35" s="170"/>
      <c r="N35" s="170"/>
      <c r="O35" s="170"/>
      <c r="P35" s="170"/>
      <c r="Q35" s="170"/>
      <c r="R35" s="171"/>
      <c r="S35" s="170"/>
      <c r="T35" s="170"/>
      <c r="U35" s="171"/>
      <c r="V35" s="172"/>
      <c r="W35" s="174"/>
    </row>
    <row r="36" spans="1:23" s="173" customFormat="1" ht="24" customHeight="1">
      <c r="A36" s="167">
        <v>18</v>
      </c>
      <c r="B36" s="168" t="s">
        <v>158</v>
      </c>
      <c r="C36" s="169">
        <f t="shared" si="2"/>
        <v>0.00031</v>
      </c>
      <c r="D36" s="169"/>
      <c r="E36" s="170"/>
      <c r="F36" s="170">
        <f>'1d - Tiêu chí phân bổ GNBV'!P29/1000000</f>
        <v>0.000218</v>
      </c>
      <c r="G36" s="170">
        <f t="shared" si="3"/>
        <v>9.2E-05</v>
      </c>
      <c r="H36" s="170">
        <f>'1d - Tiêu chí phân bổ GNBV'!Q29/1000000</f>
        <v>9.2E-05</v>
      </c>
      <c r="I36" s="170"/>
      <c r="J36" s="170"/>
      <c r="K36" s="170"/>
      <c r="L36" s="170"/>
      <c r="M36" s="170"/>
      <c r="N36" s="170"/>
      <c r="O36" s="170"/>
      <c r="P36" s="170"/>
      <c r="Q36" s="170"/>
      <c r="R36" s="171"/>
      <c r="S36" s="170"/>
      <c r="T36" s="170"/>
      <c r="U36" s="171"/>
      <c r="V36" s="172"/>
      <c r="W36" s="174"/>
    </row>
    <row r="37" spans="1:23" s="173" customFormat="1" ht="24" customHeight="1">
      <c r="A37" s="167">
        <v>19</v>
      </c>
      <c r="B37" s="168" t="s">
        <v>171</v>
      </c>
      <c r="C37" s="169">
        <f t="shared" si="2"/>
        <v>0.000231</v>
      </c>
      <c r="D37" s="169"/>
      <c r="E37" s="170"/>
      <c r="F37" s="170">
        <f>'1d - Tiêu chí phân bổ GNBV'!P30/1000000</f>
        <v>0.000162</v>
      </c>
      <c r="G37" s="170">
        <f t="shared" si="3"/>
        <v>6.9E-05</v>
      </c>
      <c r="H37" s="170">
        <f>'1d - Tiêu chí phân bổ GNBV'!Q30/1000000</f>
        <v>6.9E-05</v>
      </c>
      <c r="I37" s="170"/>
      <c r="J37" s="170"/>
      <c r="K37" s="170"/>
      <c r="L37" s="170"/>
      <c r="M37" s="170"/>
      <c r="N37" s="170"/>
      <c r="O37" s="170"/>
      <c r="P37" s="170"/>
      <c r="Q37" s="170"/>
      <c r="R37" s="171"/>
      <c r="S37" s="170"/>
      <c r="T37" s="170"/>
      <c r="U37" s="171"/>
      <c r="V37" s="172"/>
      <c r="W37" s="174"/>
    </row>
    <row r="38" spans="1:22" ht="12.75" customHeight="1">
      <c r="A38" s="178"/>
      <c r="B38" s="179"/>
      <c r="C38" s="180"/>
      <c r="D38" s="180"/>
      <c r="E38" s="181"/>
      <c r="F38" s="182"/>
      <c r="G38" s="181"/>
      <c r="H38" s="181"/>
      <c r="I38" s="181"/>
      <c r="J38" s="181"/>
      <c r="K38" s="181"/>
      <c r="L38" s="181"/>
      <c r="M38" s="181"/>
      <c r="N38" s="183"/>
      <c r="O38" s="181"/>
      <c r="P38" s="181"/>
      <c r="Q38" s="181"/>
      <c r="R38" s="181"/>
      <c r="S38" s="181"/>
      <c r="T38" s="181"/>
      <c r="U38" s="181"/>
      <c r="V38" s="184"/>
    </row>
    <row r="39" spans="2:21" s="149" customFormat="1" ht="36" customHeight="1">
      <c r="B39" s="185"/>
      <c r="C39" s="186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</row>
    <row r="40" spans="2:21" ht="21" customHeight="1">
      <c r="B40" s="187"/>
      <c r="C40" s="188"/>
      <c r="D40" s="153"/>
      <c r="E40" s="153"/>
      <c r="F40" s="153"/>
      <c r="G40" s="153"/>
      <c r="H40" s="189"/>
      <c r="I40" s="153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</row>
    <row r="41" spans="2:21" ht="21" customHeight="1">
      <c r="B41" s="187"/>
      <c r="C41" s="188"/>
      <c r="D41" s="153"/>
      <c r="E41" s="153"/>
      <c r="F41" s="153"/>
      <c r="G41" s="153"/>
      <c r="H41" s="189"/>
      <c r="I41" s="153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</row>
    <row r="42" spans="2:21" ht="21" customHeight="1">
      <c r="B42" s="187"/>
      <c r="C42" s="188"/>
      <c r="D42" s="153"/>
      <c r="E42" s="153"/>
      <c r="F42" s="153"/>
      <c r="G42" s="153"/>
      <c r="H42" s="189"/>
      <c r="I42" s="153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</row>
    <row r="43" spans="2:21" ht="21" customHeight="1">
      <c r="B43" s="187"/>
      <c r="C43" s="188"/>
      <c r="D43" s="153"/>
      <c r="E43" s="153"/>
      <c r="F43" s="153"/>
      <c r="G43" s="153"/>
      <c r="H43" s="189"/>
      <c r="I43" s="153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</row>
    <row r="44" spans="2:21" ht="21" customHeight="1">
      <c r="B44" s="187"/>
      <c r="C44" s="188"/>
      <c r="D44" s="153"/>
      <c r="E44" s="153"/>
      <c r="F44" s="153"/>
      <c r="G44" s="153"/>
      <c r="H44" s="189"/>
      <c r="I44" s="153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</row>
    <row r="45" spans="2:21" ht="21" customHeight="1">
      <c r="B45" s="153"/>
      <c r="C45" s="188"/>
      <c r="D45" s="153"/>
      <c r="E45" s="153"/>
      <c r="F45" s="153"/>
      <c r="G45" s="153"/>
      <c r="H45" s="189"/>
      <c r="I45" s="153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</row>
    <row r="46" spans="2:21" ht="21" customHeight="1">
      <c r="B46" s="153"/>
      <c r="C46" s="188"/>
      <c r="D46" s="153"/>
      <c r="E46" s="153"/>
      <c r="F46" s="153"/>
      <c r="G46" s="153"/>
      <c r="H46" s="189"/>
      <c r="I46" s="153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</row>
    <row r="47" spans="2:21" ht="36" customHeight="1">
      <c r="B47" s="147"/>
      <c r="C47" s="190"/>
      <c r="D47" s="147"/>
      <c r="E47" s="147"/>
      <c r="F47" s="153"/>
      <c r="G47" s="153"/>
      <c r="H47" s="189"/>
      <c r="I47" s="153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</row>
    <row r="48" spans="2:21" ht="36" customHeight="1">
      <c r="B48" s="147"/>
      <c r="C48" s="190"/>
      <c r="D48" s="147"/>
      <c r="E48" s="147"/>
      <c r="F48" s="153"/>
      <c r="G48" s="153"/>
      <c r="H48" s="189"/>
      <c r="I48" s="153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89"/>
    </row>
    <row r="49" spans="2:21" ht="36" customHeight="1">
      <c r="B49" s="147"/>
      <c r="C49" s="190"/>
      <c r="D49" s="147"/>
      <c r="E49" s="147"/>
      <c r="F49" s="153"/>
      <c r="G49" s="153"/>
      <c r="H49" s="189"/>
      <c r="I49" s="153"/>
      <c r="J49" s="147"/>
      <c r="K49" s="153"/>
      <c r="L49" s="147"/>
      <c r="M49" s="147"/>
      <c r="N49" s="147"/>
      <c r="O49" s="147"/>
      <c r="P49" s="147"/>
      <c r="Q49" s="147"/>
      <c r="R49" s="147"/>
      <c r="S49" s="147"/>
      <c r="T49" s="147"/>
      <c r="U49" s="147"/>
    </row>
    <row r="50" spans="2:21" ht="36" customHeight="1">
      <c r="B50" s="147"/>
      <c r="C50" s="190"/>
      <c r="D50" s="147"/>
      <c r="E50" s="147"/>
      <c r="F50" s="147"/>
      <c r="G50" s="153"/>
      <c r="H50" s="189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</row>
    <row r="51" spans="7:8" ht="12.75">
      <c r="G51" s="153"/>
      <c r="H51" s="189"/>
    </row>
    <row r="52" spans="7:8" ht="12.75">
      <c r="G52" s="153"/>
      <c r="H52" s="153"/>
    </row>
  </sheetData>
  <sheetProtection/>
  <mergeCells count="27">
    <mergeCell ref="A3:U3"/>
    <mergeCell ref="U7:U9"/>
    <mergeCell ref="C7:C9"/>
    <mergeCell ref="A7:A9"/>
    <mergeCell ref="A5:U5"/>
    <mergeCell ref="A4:U4"/>
    <mergeCell ref="G8:G9"/>
    <mergeCell ref="I7:N7"/>
    <mergeCell ref="B7:B9"/>
    <mergeCell ref="A11:B11"/>
    <mergeCell ref="S1:U1"/>
    <mergeCell ref="G7:H7"/>
    <mergeCell ref="N8:N9"/>
    <mergeCell ref="M8:M9"/>
    <mergeCell ref="R6:U6"/>
    <mergeCell ref="O7:Q7"/>
    <mergeCell ref="A2:U2"/>
    <mergeCell ref="F7:F9"/>
    <mergeCell ref="I8:I9"/>
    <mergeCell ref="D8:D9"/>
    <mergeCell ref="D7:E7"/>
    <mergeCell ref="S8:T8"/>
    <mergeCell ref="J8:L8"/>
    <mergeCell ref="P8:Q8"/>
    <mergeCell ref="R7:T7"/>
    <mergeCell ref="R8:R9"/>
    <mergeCell ref="O8:O9"/>
  </mergeCells>
  <printOptions horizontalCentered="1"/>
  <pageMargins left="0" right="0" top="0.43" bottom="0.2" header="0.43" footer="0.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70"/>
  <sheetViews>
    <sheetView zoomScale="70" zoomScaleNormal="70" zoomScalePageLayoutView="0" workbookViewId="0" topLeftCell="A1">
      <selection activeCell="A3" sqref="A3:F3"/>
    </sheetView>
  </sheetViews>
  <sheetFormatPr defaultColWidth="9.140625" defaultRowHeight="12.75"/>
  <cols>
    <col min="1" max="1" width="9.57421875" style="32" customWidth="1"/>
    <col min="2" max="2" width="60.8515625" style="32" customWidth="1"/>
    <col min="3" max="3" width="20.57421875" style="32" customWidth="1"/>
    <col min="4" max="4" width="17.28125" style="32" customWidth="1"/>
    <col min="5" max="5" width="16.28125" style="32" customWidth="1"/>
    <col min="6" max="6" width="33.28125" style="33" customWidth="1"/>
    <col min="7" max="7" width="31.57421875" style="33" hidden="1" customWidth="1"/>
    <col min="8" max="8" width="3.140625" style="32" hidden="1" customWidth="1"/>
    <col min="9" max="9" width="9.140625" style="32" customWidth="1"/>
    <col min="10" max="10" width="11.8515625" style="32" hidden="1" customWidth="1"/>
    <col min="11" max="11" width="0" style="106" hidden="1" customWidth="1"/>
    <col min="12" max="12" width="0" style="32" hidden="1" customWidth="1"/>
    <col min="13" max="13" width="0" style="114" hidden="1" customWidth="1"/>
    <col min="14" max="14" width="9.140625" style="32" customWidth="1"/>
    <col min="15" max="15" width="13.421875" style="32" bestFit="1" customWidth="1"/>
    <col min="16" max="16384" width="9.140625" style="32" customWidth="1"/>
  </cols>
  <sheetData>
    <row r="1" spans="1:8" ht="21" customHeight="1">
      <c r="A1" s="192"/>
      <c r="B1" s="192"/>
      <c r="C1" s="192"/>
      <c r="D1" s="192"/>
      <c r="E1" s="192"/>
      <c r="F1" s="193" t="s">
        <v>137</v>
      </c>
      <c r="G1" s="193"/>
      <c r="H1" s="193" t="s">
        <v>112</v>
      </c>
    </row>
    <row r="2" spans="1:8" ht="23.25" customHeight="1">
      <c r="A2" s="264" t="s">
        <v>97</v>
      </c>
      <c r="B2" s="264"/>
      <c r="C2" s="264"/>
      <c r="D2" s="264"/>
      <c r="E2" s="264"/>
      <c r="F2" s="264"/>
      <c r="G2" s="194"/>
      <c r="H2" s="194"/>
    </row>
    <row r="3" spans="1:8" ht="23.25" customHeight="1">
      <c r="A3" s="264" t="s">
        <v>189</v>
      </c>
      <c r="B3" s="264"/>
      <c r="C3" s="264"/>
      <c r="D3" s="264"/>
      <c r="E3" s="264"/>
      <c r="F3" s="264"/>
      <c r="G3" s="194"/>
      <c r="H3" s="194"/>
    </row>
    <row r="4" spans="1:8" ht="23.25" customHeight="1">
      <c r="A4" s="265" t="str">
        <f>'1a - GNBV 2022'!A3:U3</f>
        <v>(Kèm theo Tờ trình số:                /TTr-UBND ngày             /8/2022 của UBND huyện Tuần Giáo)</v>
      </c>
      <c r="B4" s="265"/>
      <c r="C4" s="265"/>
      <c r="D4" s="265"/>
      <c r="E4" s="265"/>
      <c r="F4" s="265"/>
      <c r="G4" s="195"/>
      <c r="H4" s="195"/>
    </row>
    <row r="5" spans="1:8" ht="24" customHeight="1">
      <c r="A5" s="192"/>
      <c r="B5" s="192"/>
      <c r="C5" s="192"/>
      <c r="D5" s="192"/>
      <c r="E5" s="192"/>
      <c r="F5" s="196" t="s">
        <v>14</v>
      </c>
      <c r="G5" s="197"/>
      <c r="H5" s="196" t="s">
        <v>14</v>
      </c>
    </row>
    <row r="6" spans="1:13" s="41" customFormat="1" ht="27" customHeight="1">
      <c r="A6" s="266" t="s">
        <v>26</v>
      </c>
      <c r="B6" s="266" t="s">
        <v>15</v>
      </c>
      <c r="C6" s="266" t="s">
        <v>99</v>
      </c>
      <c r="D6" s="266"/>
      <c r="E6" s="266"/>
      <c r="F6" s="266" t="s">
        <v>113</v>
      </c>
      <c r="G6" s="272" t="s">
        <v>3</v>
      </c>
      <c r="H6" s="266"/>
      <c r="K6" s="268" t="s">
        <v>168</v>
      </c>
      <c r="M6" s="269" t="s">
        <v>169</v>
      </c>
    </row>
    <row r="7" spans="1:13" s="41" customFormat="1" ht="27.75" customHeight="1">
      <c r="A7" s="266"/>
      <c r="B7" s="266"/>
      <c r="C7" s="266" t="s">
        <v>2</v>
      </c>
      <c r="D7" s="267" t="s">
        <v>95</v>
      </c>
      <c r="E7" s="267"/>
      <c r="F7" s="266"/>
      <c r="G7" s="273" t="s">
        <v>123</v>
      </c>
      <c r="H7" s="275" t="s">
        <v>124</v>
      </c>
      <c r="K7" s="268"/>
      <c r="M7" s="270"/>
    </row>
    <row r="8" spans="1:13" s="41" customFormat="1" ht="105" customHeight="1">
      <c r="A8" s="266"/>
      <c r="B8" s="266"/>
      <c r="C8" s="266"/>
      <c r="D8" s="198" t="s">
        <v>110</v>
      </c>
      <c r="E8" s="198" t="s">
        <v>176</v>
      </c>
      <c r="F8" s="266"/>
      <c r="G8" s="274"/>
      <c r="H8" s="276"/>
      <c r="K8" s="268"/>
      <c r="M8" s="271"/>
    </row>
    <row r="9" spans="1:13" s="42" customFormat="1" ht="32.25" customHeight="1">
      <c r="A9" s="199" t="s">
        <v>0</v>
      </c>
      <c r="B9" s="199" t="s">
        <v>1</v>
      </c>
      <c r="C9" s="199">
        <v>1</v>
      </c>
      <c r="D9" s="199">
        <v>2</v>
      </c>
      <c r="E9" s="199">
        <v>3</v>
      </c>
      <c r="F9" s="199">
        <v>4</v>
      </c>
      <c r="G9" s="200">
        <v>5</v>
      </c>
      <c r="H9" s="199">
        <v>6</v>
      </c>
      <c r="K9" s="107"/>
      <c r="M9" s="115"/>
    </row>
    <row r="10" spans="1:13" s="34" customFormat="1" ht="44.25" customHeight="1">
      <c r="A10" s="263" t="s">
        <v>60</v>
      </c>
      <c r="B10" s="263"/>
      <c r="C10" s="201">
        <f>D10+E10</f>
        <v>13065.48</v>
      </c>
      <c r="D10" s="202">
        <f>SUM(D11,D15,D35,D56,D64,D67)</f>
        <v>12684</v>
      </c>
      <c r="E10" s="202">
        <f>SUM(E11,E15,E35,E56,E64,E67)</f>
        <v>381.48</v>
      </c>
      <c r="F10" s="198" t="s">
        <v>136</v>
      </c>
      <c r="G10" s="203"/>
      <c r="H10" s="204"/>
      <c r="J10" s="100">
        <f>E10/D10</f>
        <v>0.030075685903500474</v>
      </c>
      <c r="K10" s="108"/>
      <c r="M10" s="116"/>
    </row>
    <row r="11" spans="1:13" s="102" customFormat="1" ht="63" customHeight="1">
      <c r="A11" s="205">
        <v>1</v>
      </c>
      <c r="B11" s="206" t="s">
        <v>125</v>
      </c>
      <c r="C11" s="207">
        <f>SUM(C12)</f>
        <v>2031.16</v>
      </c>
      <c r="D11" s="207">
        <f>SUM(D12)</f>
        <v>1972</v>
      </c>
      <c r="E11" s="207">
        <f>SUM(E12)</f>
        <v>59.16</v>
      </c>
      <c r="F11" s="208"/>
      <c r="G11" s="209"/>
      <c r="H11" s="210"/>
      <c r="K11" s="109"/>
      <c r="M11" s="117"/>
    </row>
    <row r="12" spans="1:13" s="103" customFormat="1" ht="63" customHeight="1">
      <c r="A12" s="211" t="s">
        <v>82</v>
      </c>
      <c r="B12" s="212" t="s">
        <v>126</v>
      </c>
      <c r="C12" s="213">
        <f>D12+E12</f>
        <v>2031.16</v>
      </c>
      <c r="D12" s="213">
        <f>SUM(D13:D14)</f>
        <v>1972</v>
      </c>
      <c r="E12" s="213">
        <f>SUM(E13:E14)</f>
        <v>59.16</v>
      </c>
      <c r="F12" s="214"/>
      <c r="G12" s="215"/>
      <c r="H12" s="216"/>
      <c r="K12" s="110">
        <v>1972</v>
      </c>
      <c r="L12" s="104">
        <f>K12-D13</f>
        <v>972</v>
      </c>
      <c r="M12" s="118">
        <f>K12*3%</f>
        <v>59.16</v>
      </c>
    </row>
    <row r="13" spans="1:13" s="105" customFormat="1" ht="35.25" customHeight="1">
      <c r="A13" s="217" t="s">
        <v>100</v>
      </c>
      <c r="B13" s="218" t="s">
        <v>122</v>
      </c>
      <c r="C13" s="230">
        <f>D13+E13</f>
        <v>1030</v>
      </c>
      <c r="D13" s="230">
        <v>1000</v>
      </c>
      <c r="E13" s="231">
        <f>3%*D13</f>
        <v>30</v>
      </c>
      <c r="F13" s="226" t="s">
        <v>147</v>
      </c>
      <c r="G13" s="220"/>
      <c r="H13" s="221"/>
      <c r="J13" s="105">
        <f>D13/D12</f>
        <v>0.5070993914807302</v>
      </c>
      <c r="K13" s="111"/>
      <c r="M13" s="119"/>
    </row>
    <row r="14" spans="1:13" s="105" customFormat="1" ht="35.25" customHeight="1">
      <c r="A14" s="217" t="s">
        <v>100</v>
      </c>
      <c r="B14" s="218" t="s">
        <v>145</v>
      </c>
      <c r="C14" s="230">
        <f>D14+E14</f>
        <v>1001.16</v>
      </c>
      <c r="D14" s="230">
        <v>972</v>
      </c>
      <c r="E14" s="231">
        <f>3%*D14</f>
        <v>29.16</v>
      </c>
      <c r="F14" s="226" t="s">
        <v>147</v>
      </c>
      <c r="G14" s="220"/>
      <c r="H14" s="221"/>
      <c r="K14" s="111"/>
      <c r="M14" s="119"/>
    </row>
    <row r="15" spans="1:13" s="35" customFormat="1" ht="85.5" customHeight="1">
      <c r="A15" s="222">
        <v>2</v>
      </c>
      <c r="B15" s="223" t="s">
        <v>83</v>
      </c>
      <c r="C15" s="224">
        <f>D15+E15</f>
        <v>4550</v>
      </c>
      <c r="D15" s="225">
        <f>4416</f>
        <v>4416</v>
      </c>
      <c r="E15" s="225">
        <f>SUM(E16:E34)</f>
        <v>134</v>
      </c>
      <c r="F15" s="226" t="s">
        <v>114</v>
      </c>
      <c r="G15" s="227"/>
      <c r="H15" s="228"/>
      <c r="K15" s="108">
        <v>4416</v>
      </c>
      <c r="L15" s="30"/>
      <c r="M15" s="118">
        <f>K15*3%</f>
        <v>132.48</v>
      </c>
    </row>
    <row r="16" spans="1:12" ht="23.25" customHeight="1">
      <c r="A16" s="219" t="s">
        <v>100</v>
      </c>
      <c r="B16" s="229" t="s">
        <v>161</v>
      </c>
      <c r="C16" s="230">
        <f>D16+E16</f>
        <v>254</v>
      </c>
      <c r="D16" s="231">
        <f>'1d - Tiêu chí phân bổ GNBV'!P12</f>
        <v>247</v>
      </c>
      <c r="E16" s="231">
        <f>ROUND(D16*3%,0)</f>
        <v>7</v>
      </c>
      <c r="F16" s="307" t="s">
        <v>178</v>
      </c>
      <c r="G16" s="227"/>
      <c r="H16" s="228"/>
      <c r="J16" s="101">
        <f>3%*D16</f>
        <v>7.41</v>
      </c>
      <c r="K16" s="112"/>
      <c r="L16" s="31"/>
    </row>
    <row r="17" spans="1:12" ht="23.25" customHeight="1">
      <c r="A17" s="219" t="s">
        <v>100</v>
      </c>
      <c r="B17" s="229" t="s">
        <v>160</v>
      </c>
      <c r="C17" s="230">
        <f aca="true" t="shared" si="0" ref="C17:C34">D17+E17</f>
        <v>251</v>
      </c>
      <c r="D17" s="231">
        <f>'1d - Tiêu chí phân bổ GNBV'!P13</f>
        <v>244</v>
      </c>
      <c r="E17" s="231">
        <f aca="true" t="shared" si="1" ref="E17:E34">ROUND(D17*3%,0)</f>
        <v>7</v>
      </c>
      <c r="F17" s="308"/>
      <c r="G17" s="227"/>
      <c r="H17" s="228"/>
      <c r="J17" s="101"/>
      <c r="K17" s="112"/>
      <c r="L17" s="31"/>
    </row>
    <row r="18" spans="1:12" ht="23.25" customHeight="1">
      <c r="A18" s="219" t="s">
        <v>100</v>
      </c>
      <c r="B18" s="229" t="s">
        <v>163</v>
      </c>
      <c r="C18" s="230">
        <f t="shared" si="0"/>
        <v>247</v>
      </c>
      <c r="D18" s="231">
        <f>'1d - Tiêu chí phân bổ GNBV'!P14</f>
        <v>240</v>
      </c>
      <c r="E18" s="231">
        <f t="shared" si="1"/>
        <v>7</v>
      </c>
      <c r="F18" s="308"/>
      <c r="G18" s="227"/>
      <c r="H18" s="228"/>
      <c r="J18" s="101"/>
      <c r="K18" s="112"/>
      <c r="L18" s="31"/>
    </row>
    <row r="19" spans="1:12" ht="23.25" customHeight="1">
      <c r="A19" s="219" t="s">
        <v>100</v>
      </c>
      <c r="B19" s="229" t="s">
        <v>164</v>
      </c>
      <c r="C19" s="230">
        <f t="shared" si="0"/>
        <v>233</v>
      </c>
      <c r="D19" s="231">
        <f>'1d - Tiêu chí phân bổ GNBV'!P15</f>
        <v>226</v>
      </c>
      <c r="E19" s="231">
        <f t="shared" si="1"/>
        <v>7</v>
      </c>
      <c r="F19" s="308"/>
      <c r="G19" s="227"/>
      <c r="H19" s="228"/>
      <c r="J19" s="101"/>
      <c r="K19" s="112"/>
      <c r="L19" s="31"/>
    </row>
    <row r="20" spans="1:12" ht="23.25" customHeight="1">
      <c r="A20" s="219" t="s">
        <v>100</v>
      </c>
      <c r="B20" s="229" t="s">
        <v>167</v>
      </c>
      <c r="C20" s="230">
        <f t="shared" si="0"/>
        <v>243</v>
      </c>
      <c r="D20" s="231">
        <f>'1d - Tiêu chí phân bổ GNBV'!P16</f>
        <v>236</v>
      </c>
      <c r="E20" s="231">
        <f t="shared" si="1"/>
        <v>7</v>
      </c>
      <c r="F20" s="308"/>
      <c r="G20" s="227"/>
      <c r="H20" s="228"/>
      <c r="J20" s="101"/>
      <c r="K20" s="112"/>
      <c r="L20" s="31"/>
    </row>
    <row r="21" spans="1:12" ht="23.25" customHeight="1">
      <c r="A21" s="219" t="s">
        <v>100</v>
      </c>
      <c r="B21" s="229" t="s">
        <v>166</v>
      </c>
      <c r="C21" s="230">
        <f t="shared" si="0"/>
        <v>216</v>
      </c>
      <c r="D21" s="231">
        <f>'1d - Tiêu chí phân bổ GNBV'!P17</f>
        <v>210</v>
      </c>
      <c r="E21" s="231">
        <f t="shared" si="1"/>
        <v>6</v>
      </c>
      <c r="F21" s="308"/>
      <c r="G21" s="227"/>
      <c r="H21" s="228"/>
      <c r="J21" s="101"/>
      <c r="K21" s="112"/>
      <c r="L21" s="31"/>
    </row>
    <row r="22" spans="1:12" ht="23.25" customHeight="1">
      <c r="A22" s="219" t="s">
        <v>100</v>
      </c>
      <c r="B22" s="229" t="s">
        <v>165</v>
      </c>
      <c r="C22" s="230">
        <f t="shared" si="0"/>
        <v>232</v>
      </c>
      <c r="D22" s="231">
        <f>'1d - Tiêu chí phân bổ GNBV'!P18</f>
        <v>225</v>
      </c>
      <c r="E22" s="231">
        <f t="shared" si="1"/>
        <v>7</v>
      </c>
      <c r="F22" s="308"/>
      <c r="G22" s="227"/>
      <c r="H22" s="228"/>
      <c r="J22" s="101"/>
      <c r="K22" s="112"/>
      <c r="L22" s="31"/>
    </row>
    <row r="23" spans="1:12" ht="23.25" customHeight="1">
      <c r="A23" s="219" t="s">
        <v>100</v>
      </c>
      <c r="B23" s="229" t="s">
        <v>162</v>
      </c>
      <c r="C23" s="230">
        <f t="shared" si="0"/>
        <v>232</v>
      </c>
      <c r="D23" s="231">
        <f>'1d - Tiêu chí phân bổ GNBV'!P19</f>
        <v>225</v>
      </c>
      <c r="E23" s="231">
        <f t="shared" si="1"/>
        <v>7</v>
      </c>
      <c r="F23" s="308"/>
      <c r="G23" s="227"/>
      <c r="H23" s="228"/>
      <c r="J23" s="101"/>
      <c r="K23" s="112"/>
      <c r="L23" s="31"/>
    </row>
    <row r="24" spans="1:12" ht="23.25" customHeight="1">
      <c r="A24" s="219" t="s">
        <v>100</v>
      </c>
      <c r="B24" s="229" t="s">
        <v>150</v>
      </c>
      <c r="C24" s="230">
        <f t="shared" si="0"/>
        <v>278</v>
      </c>
      <c r="D24" s="231">
        <f>'1d - Tiêu chí phân bổ GNBV'!P20</f>
        <v>270</v>
      </c>
      <c r="E24" s="231">
        <f t="shared" si="1"/>
        <v>8</v>
      </c>
      <c r="F24" s="308"/>
      <c r="G24" s="227"/>
      <c r="H24" s="228"/>
      <c r="J24" s="101"/>
      <c r="K24" s="112"/>
      <c r="L24" s="31"/>
    </row>
    <row r="25" spans="1:12" ht="23.25" customHeight="1">
      <c r="A25" s="219" t="s">
        <v>100</v>
      </c>
      <c r="B25" s="229" t="s">
        <v>153</v>
      </c>
      <c r="C25" s="230">
        <f t="shared" si="0"/>
        <v>225</v>
      </c>
      <c r="D25" s="231">
        <f>'1d - Tiêu chí phân bổ GNBV'!P21</f>
        <v>218</v>
      </c>
      <c r="E25" s="231">
        <f t="shared" si="1"/>
        <v>7</v>
      </c>
      <c r="F25" s="308"/>
      <c r="G25" s="227"/>
      <c r="H25" s="228"/>
      <c r="J25" s="101"/>
      <c r="K25" s="112"/>
      <c r="L25" s="31"/>
    </row>
    <row r="26" spans="1:12" ht="23.25" customHeight="1">
      <c r="A26" s="219" t="s">
        <v>100</v>
      </c>
      <c r="B26" s="229" t="s">
        <v>157</v>
      </c>
      <c r="C26" s="230">
        <f t="shared" si="0"/>
        <v>244</v>
      </c>
      <c r="D26" s="231">
        <f>'1d - Tiêu chí phân bổ GNBV'!P22</f>
        <v>237</v>
      </c>
      <c r="E26" s="231">
        <f t="shared" si="1"/>
        <v>7</v>
      </c>
      <c r="F26" s="308"/>
      <c r="G26" s="227"/>
      <c r="H26" s="228"/>
      <c r="J26" s="101"/>
      <c r="K26" s="112"/>
      <c r="L26" s="31"/>
    </row>
    <row r="27" spans="1:12" ht="23.25" customHeight="1">
      <c r="A27" s="219" t="s">
        <v>100</v>
      </c>
      <c r="B27" s="229" t="s">
        <v>156</v>
      </c>
      <c r="C27" s="230">
        <f t="shared" si="0"/>
        <v>274</v>
      </c>
      <c r="D27" s="231">
        <f>'1d - Tiêu chí phân bổ GNBV'!P23</f>
        <v>266</v>
      </c>
      <c r="E27" s="231">
        <f t="shared" si="1"/>
        <v>8</v>
      </c>
      <c r="F27" s="308"/>
      <c r="G27" s="227"/>
      <c r="H27" s="228"/>
      <c r="J27" s="101">
        <f aca="true" t="shared" si="2" ref="J27:J34">3%*D27</f>
        <v>7.9799999999999995</v>
      </c>
      <c r="K27" s="112"/>
      <c r="L27" s="31"/>
    </row>
    <row r="28" spans="1:12" ht="23.25" customHeight="1">
      <c r="A28" s="219" t="s">
        <v>100</v>
      </c>
      <c r="B28" s="229" t="s">
        <v>154</v>
      </c>
      <c r="C28" s="230">
        <f t="shared" si="0"/>
        <v>270</v>
      </c>
      <c r="D28" s="231">
        <f>'1d - Tiêu chí phân bổ GNBV'!P24</f>
        <v>262</v>
      </c>
      <c r="E28" s="231">
        <f t="shared" si="1"/>
        <v>8</v>
      </c>
      <c r="F28" s="308"/>
      <c r="G28" s="227"/>
      <c r="H28" s="228"/>
      <c r="J28" s="101">
        <f t="shared" si="2"/>
        <v>7.859999999999999</v>
      </c>
      <c r="K28" s="112"/>
      <c r="L28" s="31"/>
    </row>
    <row r="29" spans="1:12" ht="23.25" customHeight="1">
      <c r="A29" s="219" t="s">
        <v>100</v>
      </c>
      <c r="B29" s="229" t="s">
        <v>155</v>
      </c>
      <c r="C29" s="230">
        <f t="shared" si="0"/>
        <v>270</v>
      </c>
      <c r="D29" s="231">
        <f>'1d - Tiêu chí phân bổ GNBV'!P25</f>
        <v>262</v>
      </c>
      <c r="E29" s="231">
        <f t="shared" si="1"/>
        <v>8</v>
      </c>
      <c r="F29" s="308"/>
      <c r="G29" s="227"/>
      <c r="H29" s="228"/>
      <c r="J29" s="101">
        <f t="shared" si="2"/>
        <v>7.859999999999999</v>
      </c>
      <c r="K29" s="112"/>
      <c r="L29" s="31"/>
    </row>
    <row r="30" spans="1:12" ht="23.25" customHeight="1">
      <c r="A30" s="219" t="s">
        <v>100</v>
      </c>
      <c r="B30" s="229" t="s">
        <v>151</v>
      </c>
      <c r="C30" s="230">
        <f t="shared" si="0"/>
        <v>232</v>
      </c>
      <c r="D30" s="231">
        <f>'1d - Tiêu chí phân bổ GNBV'!P26</f>
        <v>225</v>
      </c>
      <c r="E30" s="231">
        <f t="shared" si="1"/>
        <v>7</v>
      </c>
      <c r="F30" s="308"/>
      <c r="G30" s="227"/>
      <c r="H30" s="228"/>
      <c r="J30" s="101">
        <f t="shared" si="2"/>
        <v>6.75</v>
      </c>
      <c r="K30" s="112"/>
      <c r="L30" s="31"/>
    </row>
    <row r="31" spans="1:12" ht="23.25" customHeight="1">
      <c r="A31" s="219" t="s">
        <v>100</v>
      </c>
      <c r="B31" s="229" t="s">
        <v>152</v>
      </c>
      <c r="C31" s="230">
        <f t="shared" si="0"/>
        <v>232</v>
      </c>
      <c r="D31" s="231">
        <f>'1d - Tiêu chí phân bổ GNBV'!P27</f>
        <v>225</v>
      </c>
      <c r="E31" s="231">
        <f t="shared" si="1"/>
        <v>7</v>
      </c>
      <c r="F31" s="308"/>
      <c r="G31" s="227"/>
      <c r="H31" s="228"/>
      <c r="J31" s="101">
        <f t="shared" si="2"/>
        <v>6.75</v>
      </c>
      <c r="K31" s="112"/>
      <c r="L31" s="31"/>
    </row>
    <row r="32" spans="1:12" ht="23.25" customHeight="1">
      <c r="A32" s="219" t="s">
        <v>100</v>
      </c>
      <c r="B32" s="229" t="s">
        <v>159</v>
      </c>
      <c r="C32" s="230">
        <f t="shared" si="0"/>
        <v>225</v>
      </c>
      <c r="D32" s="231">
        <f>'1d - Tiêu chí phân bổ GNBV'!P28</f>
        <v>218</v>
      </c>
      <c r="E32" s="231">
        <f t="shared" si="1"/>
        <v>7</v>
      </c>
      <c r="F32" s="308"/>
      <c r="G32" s="227"/>
      <c r="H32" s="228"/>
      <c r="J32" s="101">
        <f t="shared" si="2"/>
        <v>6.54</v>
      </c>
      <c r="K32" s="112"/>
      <c r="L32" s="31"/>
    </row>
    <row r="33" spans="1:11" ht="23.25" customHeight="1">
      <c r="A33" s="219" t="s">
        <v>100</v>
      </c>
      <c r="B33" s="229" t="s">
        <v>158</v>
      </c>
      <c r="C33" s="230">
        <f t="shared" si="0"/>
        <v>225</v>
      </c>
      <c r="D33" s="231">
        <f>'1d - Tiêu chí phân bổ GNBV'!P29</f>
        <v>218</v>
      </c>
      <c r="E33" s="231">
        <f t="shared" si="1"/>
        <v>7</v>
      </c>
      <c r="F33" s="308"/>
      <c r="G33" s="227"/>
      <c r="H33" s="228"/>
      <c r="J33" s="101">
        <f t="shared" si="2"/>
        <v>6.54</v>
      </c>
      <c r="K33" s="112"/>
    </row>
    <row r="34" spans="1:11" ht="23.25" customHeight="1">
      <c r="A34" s="219" t="s">
        <v>100</v>
      </c>
      <c r="B34" s="229" t="s">
        <v>171</v>
      </c>
      <c r="C34" s="230">
        <f t="shared" si="0"/>
        <v>167</v>
      </c>
      <c r="D34" s="231">
        <f>'1d - Tiêu chí phân bổ GNBV'!P30</f>
        <v>162</v>
      </c>
      <c r="E34" s="231">
        <f t="shared" si="1"/>
        <v>5</v>
      </c>
      <c r="F34" s="309"/>
      <c r="G34" s="227"/>
      <c r="H34" s="228"/>
      <c r="J34" s="101">
        <f t="shared" si="2"/>
        <v>4.859999999999999</v>
      </c>
      <c r="K34" s="112"/>
    </row>
    <row r="35" spans="1:13" s="35" customFormat="1" ht="46.5" customHeight="1">
      <c r="A35" s="222">
        <v>3</v>
      </c>
      <c r="B35" s="223" t="s">
        <v>6</v>
      </c>
      <c r="C35" s="224">
        <f>SUM(C36)</f>
        <v>1928.16</v>
      </c>
      <c r="D35" s="224">
        <f>SUM(D36)</f>
        <v>1872</v>
      </c>
      <c r="E35" s="224">
        <f>SUM(E36)</f>
        <v>56.16</v>
      </c>
      <c r="F35" s="226"/>
      <c r="G35" s="227"/>
      <c r="H35" s="232"/>
      <c r="K35" s="108"/>
      <c r="M35" s="120"/>
    </row>
    <row r="36" spans="1:13" s="36" customFormat="1" ht="59.25" customHeight="1">
      <c r="A36" s="211" t="s">
        <v>101</v>
      </c>
      <c r="B36" s="212" t="s">
        <v>17</v>
      </c>
      <c r="C36" s="213">
        <f>D36+E36</f>
        <v>1928.16</v>
      </c>
      <c r="D36" s="233">
        <v>1872</v>
      </c>
      <c r="E36" s="233">
        <f>M36</f>
        <v>56.16</v>
      </c>
      <c r="F36" s="226" t="s">
        <v>106</v>
      </c>
      <c r="G36" s="227"/>
      <c r="H36" s="216"/>
      <c r="K36" s="113">
        <v>1872</v>
      </c>
      <c r="M36" s="118">
        <f>K36*3%</f>
        <v>56.16</v>
      </c>
    </row>
    <row r="37" spans="1:11" ht="24.75" customHeight="1">
      <c r="A37" s="219" t="s">
        <v>100</v>
      </c>
      <c r="B37" s="229" t="s">
        <v>161</v>
      </c>
      <c r="C37" s="230">
        <f aca="true" t="shared" si="3" ref="C37:C55">D37+E37</f>
        <v>108</v>
      </c>
      <c r="D37" s="231">
        <f>'1d - Tiêu chí phân bổ GNBV'!Q12</f>
        <v>105</v>
      </c>
      <c r="E37" s="231">
        <f>ROUND(D37*3%,0)</f>
        <v>3</v>
      </c>
      <c r="F37" s="307" t="s">
        <v>178</v>
      </c>
      <c r="G37" s="227"/>
      <c r="H37" s="228"/>
      <c r="K37" s="112"/>
    </row>
    <row r="38" spans="1:11" ht="24.75" customHeight="1">
      <c r="A38" s="219" t="s">
        <v>100</v>
      </c>
      <c r="B38" s="229" t="s">
        <v>160</v>
      </c>
      <c r="C38" s="230">
        <f t="shared" si="3"/>
        <v>106</v>
      </c>
      <c r="D38" s="231">
        <f>'1d - Tiêu chí phân bổ GNBV'!Q13</f>
        <v>103</v>
      </c>
      <c r="E38" s="231">
        <f aca="true" t="shared" si="4" ref="E38:E55">ROUND(D38*3%,0)</f>
        <v>3</v>
      </c>
      <c r="F38" s="308"/>
      <c r="G38" s="227"/>
      <c r="H38" s="228"/>
      <c r="K38" s="112"/>
    </row>
    <row r="39" spans="1:11" ht="24.75" customHeight="1">
      <c r="A39" s="219" t="s">
        <v>100</v>
      </c>
      <c r="B39" s="229" t="s">
        <v>163</v>
      </c>
      <c r="C39" s="230">
        <f t="shared" si="3"/>
        <v>105</v>
      </c>
      <c r="D39" s="231">
        <f>'1d - Tiêu chí phân bổ GNBV'!Q14</f>
        <v>102</v>
      </c>
      <c r="E39" s="231">
        <f t="shared" si="4"/>
        <v>3</v>
      </c>
      <c r="F39" s="308"/>
      <c r="G39" s="227"/>
      <c r="H39" s="228"/>
      <c r="K39" s="112"/>
    </row>
    <row r="40" spans="1:11" ht="24.75" customHeight="1">
      <c r="A40" s="219" t="s">
        <v>100</v>
      </c>
      <c r="B40" s="229" t="s">
        <v>164</v>
      </c>
      <c r="C40" s="230">
        <f t="shared" si="3"/>
        <v>99</v>
      </c>
      <c r="D40" s="231">
        <f>'1d - Tiêu chí phân bổ GNBV'!Q15</f>
        <v>96</v>
      </c>
      <c r="E40" s="231">
        <f t="shared" si="4"/>
        <v>3</v>
      </c>
      <c r="F40" s="308"/>
      <c r="G40" s="227"/>
      <c r="H40" s="228"/>
      <c r="K40" s="112"/>
    </row>
    <row r="41" spans="1:11" ht="24.75" customHeight="1">
      <c r="A41" s="219" t="s">
        <v>100</v>
      </c>
      <c r="B41" s="229" t="s">
        <v>167</v>
      </c>
      <c r="C41" s="230">
        <f t="shared" si="3"/>
        <v>103</v>
      </c>
      <c r="D41" s="231">
        <f>'1d - Tiêu chí phân bổ GNBV'!Q16</f>
        <v>100</v>
      </c>
      <c r="E41" s="231">
        <f t="shared" si="4"/>
        <v>3</v>
      </c>
      <c r="F41" s="308"/>
      <c r="G41" s="227"/>
      <c r="H41" s="228"/>
      <c r="K41" s="112"/>
    </row>
    <row r="42" spans="1:11" ht="24.75" customHeight="1">
      <c r="A42" s="219" t="s">
        <v>100</v>
      </c>
      <c r="B42" s="229" t="s">
        <v>166</v>
      </c>
      <c r="C42" s="230">
        <f t="shared" si="3"/>
        <v>92</v>
      </c>
      <c r="D42" s="231">
        <f>'1d - Tiêu chí phân bổ GNBV'!Q17</f>
        <v>89</v>
      </c>
      <c r="E42" s="231">
        <f t="shared" si="4"/>
        <v>3</v>
      </c>
      <c r="F42" s="308"/>
      <c r="G42" s="227"/>
      <c r="H42" s="228"/>
      <c r="K42" s="112"/>
    </row>
    <row r="43" spans="1:11" ht="24.75" customHeight="1">
      <c r="A43" s="219" t="s">
        <v>100</v>
      </c>
      <c r="B43" s="229" t="s">
        <v>165</v>
      </c>
      <c r="C43" s="230">
        <f t="shared" si="3"/>
        <v>98</v>
      </c>
      <c r="D43" s="231">
        <f>'1d - Tiêu chí phân bổ GNBV'!Q18</f>
        <v>95</v>
      </c>
      <c r="E43" s="231">
        <f t="shared" si="4"/>
        <v>3</v>
      </c>
      <c r="F43" s="308"/>
      <c r="G43" s="227"/>
      <c r="H43" s="228"/>
      <c r="K43" s="112"/>
    </row>
    <row r="44" spans="1:11" ht="24.75" customHeight="1">
      <c r="A44" s="219" t="s">
        <v>100</v>
      </c>
      <c r="B44" s="229" t="s">
        <v>162</v>
      </c>
      <c r="C44" s="230">
        <f t="shared" si="3"/>
        <v>98</v>
      </c>
      <c r="D44" s="231">
        <f>'1d - Tiêu chí phân bổ GNBV'!Q19</f>
        <v>95</v>
      </c>
      <c r="E44" s="231">
        <f t="shared" si="4"/>
        <v>3</v>
      </c>
      <c r="F44" s="308"/>
      <c r="G44" s="227"/>
      <c r="H44" s="228"/>
      <c r="K44" s="112"/>
    </row>
    <row r="45" spans="1:11" ht="24.75" customHeight="1">
      <c r="A45" s="219" t="s">
        <v>100</v>
      </c>
      <c r="B45" s="229" t="s">
        <v>150</v>
      </c>
      <c r="C45" s="230">
        <f t="shared" si="3"/>
        <v>118</v>
      </c>
      <c r="D45" s="231">
        <f>'1d - Tiêu chí phân bổ GNBV'!Q20</f>
        <v>115</v>
      </c>
      <c r="E45" s="231">
        <f t="shared" si="4"/>
        <v>3</v>
      </c>
      <c r="F45" s="308"/>
      <c r="G45" s="227"/>
      <c r="H45" s="228"/>
      <c r="K45" s="112"/>
    </row>
    <row r="46" spans="1:11" ht="24.75" customHeight="1">
      <c r="A46" s="219" t="s">
        <v>100</v>
      </c>
      <c r="B46" s="229" t="s">
        <v>153</v>
      </c>
      <c r="C46" s="230">
        <f t="shared" si="3"/>
        <v>95</v>
      </c>
      <c r="D46" s="231">
        <f>'1d - Tiêu chí phân bổ GNBV'!Q21</f>
        <v>92</v>
      </c>
      <c r="E46" s="231">
        <f t="shared" si="4"/>
        <v>3</v>
      </c>
      <c r="F46" s="308"/>
      <c r="G46" s="227"/>
      <c r="H46" s="228"/>
      <c r="K46" s="112"/>
    </row>
    <row r="47" spans="1:11" ht="24.75" customHeight="1">
      <c r="A47" s="219" t="s">
        <v>100</v>
      </c>
      <c r="B47" s="229" t="s">
        <v>157</v>
      </c>
      <c r="C47" s="230">
        <f t="shared" si="3"/>
        <v>104</v>
      </c>
      <c r="D47" s="231">
        <f>'1d - Tiêu chí phân bổ GNBV'!Q22</f>
        <v>101</v>
      </c>
      <c r="E47" s="231">
        <f t="shared" si="4"/>
        <v>3</v>
      </c>
      <c r="F47" s="308"/>
      <c r="G47" s="227"/>
      <c r="H47" s="228"/>
      <c r="K47" s="112"/>
    </row>
    <row r="48" spans="1:11" ht="24.75" customHeight="1">
      <c r="A48" s="219" t="s">
        <v>100</v>
      </c>
      <c r="B48" s="229" t="s">
        <v>156</v>
      </c>
      <c r="C48" s="230">
        <f t="shared" si="3"/>
        <v>116</v>
      </c>
      <c r="D48" s="231">
        <f>'1d - Tiêu chí phân bổ GNBV'!Q23</f>
        <v>113</v>
      </c>
      <c r="E48" s="231">
        <f t="shared" si="4"/>
        <v>3</v>
      </c>
      <c r="F48" s="308"/>
      <c r="G48" s="227"/>
      <c r="H48" s="228"/>
      <c r="K48" s="112"/>
    </row>
    <row r="49" spans="1:11" ht="24.75" customHeight="1">
      <c r="A49" s="219" t="s">
        <v>100</v>
      </c>
      <c r="B49" s="229" t="s">
        <v>154</v>
      </c>
      <c r="C49" s="230">
        <f t="shared" si="3"/>
        <v>114</v>
      </c>
      <c r="D49" s="231">
        <f>'1d - Tiêu chí phân bổ GNBV'!Q24</f>
        <v>111</v>
      </c>
      <c r="E49" s="231">
        <f t="shared" si="4"/>
        <v>3</v>
      </c>
      <c r="F49" s="308"/>
      <c r="G49" s="227"/>
      <c r="H49" s="228"/>
      <c r="K49" s="112"/>
    </row>
    <row r="50" spans="1:11" ht="24.75" customHeight="1">
      <c r="A50" s="219" t="s">
        <v>100</v>
      </c>
      <c r="B50" s="229" t="s">
        <v>155</v>
      </c>
      <c r="C50" s="230">
        <f t="shared" si="3"/>
        <v>114</v>
      </c>
      <c r="D50" s="231">
        <f>'1d - Tiêu chí phân bổ GNBV'!Q25</f>
        <v>111</v>
      </c>
      <c r="E50" s="231">
        <f t="shared" si="4"/>
        <v>3</v>
      </c>
      <c r="F50" s="308"/>
      <c r="G50" s="227"/>
      <c r="H50" s="228"/>
      <c r="K50" s="112"/>
    </row>
    <row r="51" spans="1:11" ht="24.75" customHeight="1">
      <c r="A51" s="219" t="s">
        <v>100</v>
      </c>
      <c r="B51" s="229" t="s">
        <v>151</v>
      </c>
      <c r="C51" s="230">
        <f t="shared" si="3"/>
        <v>98</v>
      </c>
      <c r="D51" s="231">
        <f>'1d - Tiêu chí phân bổ GNBV'!Q26</f>
        <v>95</v>
      </c>
      <c r="E51" s="231">
        <f t="shared" si="4"/>
        <v>3</v>
      </c>
      <c r="F51" s="308"/>
      <c r="G51" s="227"/>
      <c r="H51" s="228"/>
      <c r="K51" s="112"/>
    </row>
    <row r="52" spans="1:11" ht="24.75" customHeight="1">
      <c r="A52" s="219" t="s">
        <v>100</v>
      </c>
      <c r="B52" s="229" t="s">
        <v>152</v>
      </c>
      <c r="C52" s="230">
        <f t="shared" si="3"/>
        <v>98</v>
      </c>
      <c r="D52" s="231">
        <f>'1d - Tiêu chí phân bổ GNBV'!Q27</f>
        <v>95</v>
      </c>
      <c r="E52" s="231">
        <f t="shared" si="4"/>
        <v>3</v>
      </c>
      <c r="F52" s="308"/>
      <c r="G52" s="227"/>
      <c r="H52" s="228"/>
      <c r="K52" s="112"/>
    </row>
    <row r="53" spans="1:11" ht="24.75" customHeight="1">
      <c r="A53" s="219" t="s">
        <v>100</v>
      </c>
      <c r="B53" s="229" t="s">
        <v>159</v>
      </c>
      <c r="C53" s="230">
        <f t="shared" si="3"/>
        <v>96</v>
      </c>
      <c r="D53" s="231">
        <f>'1d - Tiêu chí phân bổ GNBV'!Q28</f>
        <v>93</v>
      </c>
      <c r="E53" s="231">
        <f t="shared" si="4"/>
        <v>3</v>
      </c>
      <c r="F53" s="308"/>
      <c r="G53" s="227"/>
      <c r="H53" s="228"/>
      <c r="K53" s="112"/>
    </row>
    <row r="54" spans="1:11" ht="24.75" customHeight="1">
      <c r="A54" s="219" t="s">
        <v>100</v>
      </c>
      <c r="B54" s="229" t="s">
        <v>158</v>
      </c>
      <c r="C54" s="230">
        <f t="shared" si="3"/>
        <v>95</v>
      </c>
      <c r="D54" s="231">
        <f>'1d - Tiêu chí phân bổ GNBV'!Q29</f>
        <v>92</v>
      </c>
      <c r="E54" s="231">
        <f t="shared" si="4"/>
        <v>3</v>
      </c>
      <c r="F54" s="308"/>
      <c r="G54" s="227"/>
      <c r="H54" s="228"/>
      <c r="K54" s="112"/>
    </row>
    <row r="55" spans="1:11" ht="24.75" customHeight="1">
      <c r="A55" s="219" t="s">
        <v>100</v>
      </c>
      <c r="B55" s="229" t="s">
        <v>171</v>
      </c>
      <c r="C55" s="230">
        <f t="shared" si="3"/>
        <v>71</v>
      </c>
      <c r="D55" s="231">
        <f>'1d - Tiêu chí phân bổ GNBV'!Q30</f>
        <v>69</v>
      </c>
      <c r="E55" s="231">
        <f t="shared" si="4"/>
        <v>2</v>
      </c>
      <c r="F55" s="309"/>
      <c r="G55" s="227"/>
      <c r="H55" s="228"/>
      <c r="K55" s="112"/>
    </row>
    <row r="56" spans="1:13" s="102" customFormat="1" ht="43.5" customHeight="1">
      <c r="A56" s="222">
        <v>4</v>
      </c>
      <c r="B56" s="223" t="s">
        <v>7</v>
      </c>
      <c r="C56" s="224">
        <f>SUM(D56:E56)</f>
        <v>3080.55</v>
      </c>
      <c r="D56" s="224">
        <f>SUM(D57,D62,D63)</f>
        <v>2991</v>
      </c>
      <c r="E56" s="224">
        <f>SUM(E57,E62,E63)</f>
        <v>89.55</v>
      </c>
      <c r="F56" s="226"/>
      <c r="G56" s="227"/>
      <c r="H56" s="232"/>
      <c r="K56" s="109">
        <v>2991</v>
      </c>
      <c r="M56" s="118">
        <f>3%*K56</f>
        <v>89.72999999999999</v>
      </c>
    </row>
    <row r="57" spans="1:13" s="103" customFormat="1" ht="61.5" customHeight="1">
      <c r="A57" s="211" t="s">
        <v>84</v>
      </c>
      <c r="B57" s="212" t="s">
        <v>85</v>
      </c>
      <c r="C57" s="213">
        <f>SUM(D57:E57)</f>
        <v>2353.55</v>
      </c>
      <c r="D57" s="233">
        <f>SUM(D58,D61)</f>
        <v>2285</v>
      </c>
      <c r="E57" s="233">
        <f>SUM(E58,E61)</f>
        <v>68.55</v>
      </c>
      <c r="F57" s="234"/>
      <c r="G57" s="235"/>
      <c r="H57" s="216"/>
      <c r="J57" s="103">
        <f>E57/D57</f>
        <v>0.03</v>
      </c>
      <c r="K57" s="110">
        <v>2285</v>
      </c>
      <c r="M57" s="118">
        <f>K57*3%</f>
        <v>68.55</v>
      </c>
    </row>
    <row r="58" spans="1:13" s="121" customFormat="1" ht="27" customHeight="1">
      <c r="A58" s="217" t="s">
        <v>100</v>
      </c>
      <c r="B58" s="221" t="s">
        <v>86</v>
      </c>
      <c r="C58" s="230">
        <f>SUM(C59:C60)</f>
        <v>1177.29</v>
      </c>
      <c r="D58" s="230">
        <f>D59+D60</f>
        <v>1143</v>
      </c>
      <c r="E58" s="230">
        <f>SUM(E59:E60)</f>
        <v>34.29</v>
      </c>
      <c r="F58" s="214"/>
      <c r="G58" s="215"/>
      <c r="H58" s="236"/>
      <c r="K58" s="122">
        <v>1034</v>
      </c>
      <c r="M58" s="123">
        <f>K58*3%</f>
        <v>31.02</v>
      </c>
    </row>
    <row r="59" spans="1:15" s="121" customFormat="1" ht="63" customHeight="1">
      <c r="A59" s="217" t="s">
        <v>102</v>
      </c>
      <c r="B59" s="221" t="s">
        <v>87</v>
      </c>
      <c r="C59" s="230">
        <f>SUM(D59:E59)</f>
        <v>235.87</v>
      </c>
      <c r="D59" s="231">
        <v>229</v>
      </c>
      <c r="E59" s="231">
        <f>0.03*D59</f>
        <v>6.87</v>
      </c>
      <c r="F59" s="226" t="s">
        <v>104</v>
      </c>
      <c r="G59" s="227"/>
      <c r="H59" s="226" t="s">
        <v>115</v>
      </c>
      <c r="K59" s="122">
        <f>K57*0.1</f>
        <v>228.5</v>
      </c>
      <c r="M59" s="123"/>
      <c r="O59" s="124">
        <f>D59/D57</f>
        <v>0.10021881838074398</v>
      </c>
    </row>
    <row r="60" spans="1:15" s="121" customFormat="1" ht="42" customHeight="1">
      <c r="A60" s="217" t="s">
        <v>102</v>
      </c>
      <c r="B60" s="221" t="s">
        <v>88</v>
      </c>
      <c r="C60" s="230">
        <f>SUM(D60:E60)</f>
        <v>941.42</v>
      </c>
      <c r="D60" s="231">
        <v>914</v>
      </c>
      <c r="E60" s="231">
        <f>0.03*D60</f>
        <v>27.419999999999998</v>
      </c>
      <c r="F60" s="226" t="s">
        <v>105</v>
      </c>
      <c r="G60" s="227"/>
      <c r="H60" s="236"/>
      <c r="K60" s="122">
        <f>K57*0.4</f>
        <v>914</v>
      </c>
      <c r="M60" s="123"/>
      <c r="O60" s="124">
        <f>D60/D58</f>
        <v>0.799650043744532</v>
      </c>
    </row>
    <row r="61" spans="1:15" s="121" customFormat="1" ht="42" customHeight="1">
      <c r="A61" s="217" t="s">
        <v>100</v>
      </c>
      <c r="B61" s="221" t="s">
        <v>20</v>
      </c>
      <c r="C61" s="230">
        <f>SUM(D61:E61)</f>
        <v>1176.26</v>
      </c>
      <c r="D61" s="231">
        <v>1142</v>
      </c>
      <c r="E61" s="231">
        <f>0.03*D61</f>
        <v>34.26</v>
      </c>
      <c r="F61" s="226" t="s">
        <v>105</v>
      </c>
      <c r="G61" s="215"/>
      <c r="H61" s="228"/>
      <c r="K61" s="122">
        <v>1251</v>
      </c>
      <c r="M61" s="123">
        <f aca="true" t="shared" si="5" ref="M61:M69">K61*3%</f>
        <v>37.53</v>
      </c>
      <c r="O61" s="124">
        <f>D61/D57</f>
        <v>0.499781181619256</v>
      </c>
    </row>
    <row r="62" spans="1:13" s="103" customFormat="1" ht="60" customHeight="1">
      <c r="A62" s="211" t="s">
        <v>89</v>
      </c>
      <c r="B62" s="212" t="s">
        <v>90</v>
      </c>
      <c r="C62" s="213">
        <f>SUM(D62:E62)</f>
        <v>284</v>
      </c>
      <c r="D62" s="213">
        <v>276</v>
      </c>
      <c r="E62" s="233">
        <v>8</v>
      </c>
      <c r="F62" s="226" t="s">
        <v>103</v>
      </c>
      <c r="G62" s="227"/>
      <c r="H62" s="226" t="s">
        <v>116</v>
      </c>
      <c r="K62" s="110">
        <v>276</v>
      </c>
      <c r="M62" s="118">
        <f t="shared" si="5"/>
        <v>8.28</v>
      </c>
    </row>
    <row r="63" spans="1:13" s="103" customFormat="1" ht="55.5" customHeight="1">
      <c r="A63" s="211" t="s">
        <v>91</v>
      </c>
      <c r="B63" s="212" t="s">
        <v>92</v>
      </c>
      <c r="C63" s="213">
        <f aca="true" t="shared" si="6" ref="C63:C69">D63+E63</f>
        <v>443</v>
      </c>
      <c r="D63" s="233">
        <v>430</v>
      </c>
      <c r="E63" s="233">
        <v>13</v>
      </c>
      <c r="F63" s="226" t="s">
        <v>103</v>
      </c>
      <c r="G63" s="227"/>
      <c r="H63" s="226" t="s">
        <v>121</v>
      </c>
      <c r="K63" s="110">
        <v>430</v>
      </c>
      <c r="M63" s="118">
        <f t="shared" si="5"/>
        <v>12.9</v>
      </c>
    </row>
    <row r="64" spans="1:13" s="102" customFormat="1" ht="50.25" customHeight="1">
      <c r="A64" s="222">
        <v>5</v>
      </c>
      <c r="B64" s="223" t="s">
        <v>8</v>
      </c>
      <c r="C64" s="224">
        <f t="shared" si="6"/>
        <v>459</v>
      </c>
      <c r="D64" s="224">
        <f>D65+D66</f>
        <v>446</v>
      </c>
      <c r="E64" s="224">
        <f>E65+E66</f>
        <v>13</v>
      </c>
      <c r="F64" s="226"/>
      <c r="G64" s="227"/>
      <c r="H64" s="232"/>
      <c r="K64" s="109">
        <v>446</v>
      </c>
      <c r="M64" s="118">
        <f t="shared" si="5"/>
        <v>13.379999999999999</v>
      </c>
    </row>
    <row r="65" spans="1:13" s="125" customFormat="1" ht="57" customHeight="1">
      <c r="A65" s="211" t="s">
        <v>108</v>
      </c>
      <c r="B65" s="212" t="s">
        <v>9</v>
      </c>
      <c r="C65" s="213">
        <f t="shared" si="6"/>
        <v>381</v>
      </c>
      <c r="D65" s="233">
        <v>370</v>
      </c>
      <c r="E65" s="233">
        <v>11</v>
      </c>
      <c r="F65" s="226" t="s">
        <v>107</v>
      </c>
      <c r="G65" s="227"/>
      <c r="H65" s="226" t="s">
        <v>117</v>
      </c>
      <c r="K65" s="126">
        <v>370</v>
      </c>
      <c r="M65" s="118">
        <f t="shared" si="5"/>
        <v>11.1</v>
      </c>
    </row>
    <row r="66" spans="1:13" s="125" customFormat="1" ht="57" customHeight="1">
      <c r="A66" s="211" t="s">
        <v>109</v>
      </c>
      <c r="B66" s="212" t="s">
        <v>10</v>
      </c>
      <c r="C66" s="213">
        <f t="shared" si="6"/>
        <v>78</v>
      </c>
      <c r="D66" s="233">
        <v>76</v>
      </c>
      <c r="E66" s="233">
        <v>2</v>
      </c>
      <c r="F66" s="226" t="s">
        <v>103</v>
      </c>
      <c r="G66" s="227"/>
      <c r="H66" s="226" t="s">
        <v>118</v>
      </c>
      <c r="K66" s="126">
        <v>76</v>
      </c>
      <c r="M66" s="118">
        <f t="shared" si="5"/>
        <v>2.28</v>
      </c>
    </row>
    <row r="67" spans="1:13" s="102" customFormat="1" ht="47.25" customHeight="1">
      <c r="A67" s="222">
        <v>6</v>
      </c>
      <c r="B67" s="223" t="s">
        <v>11</v>
      </c>
      <c r="C67" s="224">
        <f t="shared" si="6"/>
        <v>1016.61</v>
      </c>
      <c r="D67" s="224">
        <f>D68+D69</f>
        <v>987</v>
      </c>
      <c r="E67" s="224">
        <f>E68+E69</f>
        <v>29.61</v>
      </c>
      <c r="F67" s="214"/>
      <c r="G67" s="215"/>
      <c r="H67" s="232"/>
      <c r="K67" s="109">
        <v>987</v>
      </c>
      <c r="M67" s="118">
        <f t="shared" si="5"/>
        <v>29.61</v>
      </c>
    </row>
    <row r="68" spans="1:13" s="125" customFormat="1" ht="59.25" customHeight="1">
      <c r="A68" s="211" t="s">
        <v>93</v>
      </c>
      <c r="B68" s="212" t="s">
        <v>12</v>
      </c>
      <c r="C68" s="224">
        <f t="shared" si="6"/>
        <v>664.35</v>
      </c>
      <c r="D68" s="237">
        <v>645</v>
      </c>
      <c r="E68" s="233">
        <v>19.349999999999998</v>
      </c>
      <c r="F68" s="238" t="s">
        <v>104</v>
      </c>
      <c r="G68" s="239"/>
      <c r="H68" s="226" t="s">
        <v>119</v>
      </c>
      <c r="K68" s="126">
        <v>645</v>
      </c>
      <c r="M68" s="118">
        <f t="shared" si="5"/>
        <v>19.349999999999998</v>
      </c>
    </row>
    <row r="69" spans="1:13" s="125" customFormat="1" ht="59.25" customHeight="1">
      <c r="A69" s="211" t="s">
        <v>94</v>
      </c>
      <c r="B69" s="212" t="s">
        <v>13</v>
      </c>
      <c r="C69" s="224">
        <f t="shared" si="6"/>
        <v>352.26</v>
      </c>
      <c r="D69" s="237">
        <v>342</v>
      </c>
      <c r="E69" s="233">
        <v>10.26</v>
      </c>
      <c r="F69" s="238" t="s">
        <v>104</v>
      </c>
      <c r="G69" s="239"/>
      <c r="H69" s="226" t="s">
        <v>120</v>
      </c>
      <c r="K69" s="126">
        <v>342</v>
      </c>
      <c r="M69" s="118">
        <f t="shared" si="5"/>
        <v>10.26</v>
      </c>
    </row>
    <row r="70" spans="1:11" ht="17.25" customHeight="1">
      <c r="A70" s="37"/>
      <c r="B70" s="37"/>
      <c r="C70" s="97"/>
      <c r="D70" s="98"/>
      <c r="E70" s="99"/>
      <c r="F70" s="46"/>
      <c r="G70" s="45"/>
      <c r="H70" s="37"/>
      <c r="K70" s="112"/>
    </row>
  </sheetData>
  <sheetProtection/>
  <mergeCells count="17">
    <mergeCell ref="K6:K8"/>
    <mergeCell ref="M6:M8"/>
    <mergeCell ref="G6:H6"/>
    <mergeCell ref="G7:G8"/>
    <mergeCell ref="H7:H8"/>
    <mergeCell ref="F37:F55"/>
    <mergeCell ref="F16:F34"/>
    <mergeCell ref="A10:B10"/>
    <mergeCell ref="A2:F2"/>
    <mergeCell ref="A3:F3"/>
    <mergeCell ref="A4:F4"/>
    <mergeCell ref="B6:B8"/>
    <mergeCell ref="A6:A8"/>
    <mergeCell ref="C6:E6"/>
    <mergeCell ref="F6:F8"/>
    <mergeCell ref="D7:E7"/>
    <mergeCell ref="C7:C8"/>
  </mergeCells>
  <printOptions/>
  <pageMargins left="0.54" right="0.1968503937007874" top="0.49" bottom="0.34" header="0.49" footer="0.3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="70" zoomScaleNormal="70" zoomScalePageLayoutView="0" workbookViewId="0" topLeftCell="A1">
      <selection activeCell="L12" sqref="L12"/>
    </sheetView>
  </sheetViews>
  <sheetFormatPr defaultColWidth="9.140625" defaultRowHeight="12.75"/>
  <cols>
    <col min="1" max="1" width="8.7109375" style="50" customWidth="1"/>
    <col min="2" max="2" width="54.140625" style="50" customWidth="1"/>
    <col min="3" max="3" width="56.57421875" style="50" customWidth="1"/>
    <col min="4" max="4" width="19.00390625" style="50" customWidth="1"/>
    <col min="5" max="5" width="18.7109375" style="50" customWidth="1"/>
    <col min="6" max="6" width="14.8515625" style="50" customWidth="1"/>
    <col min="7" max="7" width="10.140625" style="50" customWidth="1"/>
    <col min="8" max="8" width="20.421875" style="50" customWidth="1"/>
    <col min="9" max="16384" width="9.140625" style="50" customWidth="1"/>
  </cols>
  <sheetData>
    <row r="1" spans="5:8" ht="19.5" customHeight="1">
      <c r="E1" s="310" t="s">
        <v>180</v>
      </c>
      <c r="F1" s="310"/>
      <c r="G1" s="310"/>
      <c r="H1" s="310"/>
    </row>
    <row r="2" spans="1:8" ht="26.25" customHeight="1">
      <c r="A2" s="255" t="s">
        <v>143</v>
      </c>
      <c r="B2" s="255"/>
      <c r="C2" s="255"/>
      <c r="D2" s="255"/>
      <c r="E2" s="255"/>
      <c r="F2" s="255"/>
      <c r="G2" s="255"/>
      <c r="H2" s="255"/>
    </row>
    <row r="3" spans="1:8" ht="21" customHeight="1">
      <c r="A3" s="256" t="str">
        <f>'[1]1a - GNBV 2022'!A3:U3</f>
        <v>(Kèm theo Tờ trình số:                /TTr-UBND ngày             /8/2022 của UBND huyện Tuần Giáo)</v>
      </c>
      <c r="B3" s="256"/>
      <c r="C3" s="256"/>
      <c r="D3" s="256"/>
      <c r="E3" s="256"/>
      <c r="F3" s="256"/>
      <c r="G3" s="256"/>
      <c r="H3" s="256"/>
    </row>
    <row r="4" spans="1:8" ht="25.5" customHeight="1">
      <c r="A4" s="48"/>
      <c r="B4" s="48"/>
      <c r="C4" s="48"/>
      <c r="D4" s="48"/>
      <c r="E4" s="48"/>
      <c r="F4" s="254" t="s">
        <v>14</v>
      </c>
      <c r="G4" s="254"/>
      <c r="H4" s="254"/>
    </row>
    <row r="5" spans="1:8" s="51" customFormat="1" ht="25.5" customHeight="1">
      <c r="A5" s="259" t="s">
        <v>26</v>
      </c>
      <c r="B5" s="259" t="s">
        <v>127</v>
      </c>
      <c r="C5" s="259" t="s">
        <v>128</v>
      </c>
      <c r="D5" s="259" t="s">
        <v>140</v>
      </c>
      <c r="E5" s="259" t="s">
        <v>141</v>
      </c>
      <c r="F5" s="259"/>
      <c r="G5" s="259"/>
      <c r="H5" s="259" t="s">
        <v>3</v>
      </c>
    </row>
    <row r="6" spans="1:8" s="51" customFormat="1" ht="25.5" customHeight="1">
      <c r="A6" s="259"/>
      <c r="B6" s="259"/>
      <c r="C6" s="259"/>
      <c r="D6" s="259"/>
      <c r="E6" s="259" t="s">
        <v>129</v>
      </c>
      <c r="F6" s="259" t="s">
        <v>130</v>
      </c>
      <c r="G6" s="259"/>
      <c r="H6" s="259"/>
    </row>
    <row r="7" spans="1:8" s="51" customFormat="1" ht="116.25" customHeight="1">
      <c r="A7" s="259"/>
      <c r="B7" s="259"/>
      <c r="C7" s="259"/>
      <c r="D7" s="259"/>
      <c r="E7" s="259"/>
      <c r="F7" s="47" t="s">
        <v>131</v>
      </c>
      <c r="G7" s="47" t="s">
        <v>132</v>
      </c>
      <c r="H7" s="259"/>
    </row>
    <row r="8" spans="1:8" s="52" customFormat="1" ht="33" customHeight="1">
      <c r="A8" s="49" t="s">
        <v>0</v>
      </c>
      <c r="B8" s="49" t="s">
        <v>1</v>
      </c>
      <c r="C8" s="49" t="s">
        <v>4</v>
      </c>
      <c r="D8" s="49">
        <v>1</v>
      </c>
      <c r="E8" s="49" t="s">
        <v>142</v>
      </c>
      <c r="F8" s="49">
        <v>3</v>
      </c>
      <c r="G8" s="49">
        <v>4</v>
      </c>
      <c r="H8" s="49">
        <v>5</v>
      </c>
    </row>
    <row r="9" spans="1:8" s="52" customFormat="1" ht="26.25" customHeight="1">
      <c r="A9" s="260" t="s">
        <v>60</v>
      </c>
      <c r="B9" s="261"/>
      <c r="C9" s="262"/>
      <c r="D9" s="60">
        <f>SUM(D10,D15)</f>
        <v>1030</v>
      </c>
      <c r="E9" s="60">
        <f>SUM(E10,E15)</f>
        <v>2031</v>
      </c>
      <c r="F9" s="60">
        <f>SUM(F10,F15)</f>
        <v>1972</v>
      </c>
      <c r="G9" s="60">
        <f>SUM(G10,G15)</f>
        <v>59</v>
      </c>
      <c r="H9" s="59"/>
    </row>
    <row r="10" spans="1:8" s="54" customFormat="1" ht="29.25" customHeight="1">
      <c r="A10" s="55" t="s">
        <v>39</v>
      </c>
      <c r="B10" s="56" t="s">
        <v>133</v>
      </c>
      <c r="C10" s="55"/>
      <c r="D10" s="57">
        <f>SUM(D11:D14)</f>
        <v>1030</v>
      </c>
      <c r="E10" s="57">
        <f>F10+G10</f>
        <v>1030</v>
      </c>
      <c r="F10" s="57">
        <v>1000</v>
      </c>
      <c r="G10" s="57">
        <v>30</v>
      </c>
      <c r="H10" s="58"/>
    </row>
    <row r="11" spans="1:8" s="316" customFormat="1" ht="33">
      <c r="A11" s="311">
        <v>1</v>
      </c>
      <c r="B11" s="312" t="s">
        <v>181</v>
      </c>
      <c r="C11" s="312" t="s">
        <v>182</v>
      </c>
      <c r="D11" s="313">
        <f>E11</f>
        <v>309</v>
      </c>
      <c r="E11" s="313">
        <f>F11+G11</f>
        <v>309</v>
      </c>
      <c r="F11" s="314">
        <v>300</v>
      </c>
      <c r="G11" s="314">
        <f>3%*F11</f>
        <v>9</v>
      </c>
      <c r="H11" s="315" t="s">
        <v>174</v>
      </c>
    </row>
    <row r="12" spans="1:8" s="316" customFormat="1" ht="33">
      <c r="A12" s="311">
        <v>2</v>
      </c>
      <c r="B12" s="312" t="s">
        <v>183</v>
      </c>
      <c r="C12" s="312" t="s">
        <v>184</v>
      </c>
      <c r="D12" s="313">
        <f>E12</f>
        <v>412</v>
      </c>
      <c r="E12" s="313">
        <f>F12+G12</f>
        <v>412</v>
      </c>
      <c r="F12" s="314">
        <v>400</v>
      </c>
      <c r="G12" s="314">
        <f>3%*F12</f>
        <v>12</v>
      </c>
      <c r="H12" s="317"/>
    </row>
    <row r="13" spans="1:8" s="316" customFormat="1" ht="49.5">
      <c r="A13" s="311">
        <v>3</v>
      </c>
      <c r="B13" s="312" t="s">
        <v>185</v>
      </c>
      <c r="C13" s="312" t="s">
        <v>186</v>
      </c>
      <c r="D13" s="313">
        <f>E13</f>
        <v>309</v>
      </c>
      <c r="E13" s="313">
        <f>F13+G13</f>
        <v>309</v>
      </c>
      <c r="F13" s="314">
        <v>300</v>
      </c>
      <c r="G13" s="314">
        <f>3%*F13</f>
        <v>9</v>
      </c>
      <c r="H13" s="317"/>
    </row>
    <row r="14" spans="1:8" s="316" customFormat="1" ht="16.5">
      <c r="A14" s="311"/>
      <c r="B14" s="312"/>
      <c r="C14" s="312"/>
      <c r="D14" s="313"/>
      <c r="E14" s="313"/>
      <c r="F14" s="318"/>
      <c r="G14" s="314"/>
      <c r="H14" s="319"/>
    </row>
    <row r="15" spans="1:8" s="316" customFormat="1" ht="27.75" customHeight="1">
      <c r="A15" s="320" t="s">
        <v>41</v>
      </c>
      <c r="B15" s="321" t="s">
        <v>134</v>
      </c>
      <c r="C15" s="312"/>
      <c r="D15" s="322">
        <f>D17</f>
        <v>0</v>
      </c>
      <c r="E15" s="322">
        <f>F15+G15</f>
        <v>1001</v>
      </c>
      <c r="F15" s="322">
        <v>972</v>
      </c>
      <c r="G15" s="322">
        <v>29</v>
      </c>
      <c r="H15" s="312"/>
    </row>
    <row r="16" spans="1:8" s="316" customFormat="1" ht="49.5">
      <c r="A16" s="311">
        <v>1</v>
      </c>
      <c r="B16" s="312" t="s">
        <v>187</v>
      </c>
      <c r="C16" s="312" t="s">
        <v>188</v>
      </c>
      <c r="D16" s="313">
        <f>E16</f>
        <v>1001</v>
      </c>
      <c r="E16" s="318">
        <f>F16+G16</f>
        <v>1001</v>
      </c>
      <c r="F16" s="318">
        <v>972</v>
      </c>
      <c r="G16" s="318">
        <v>29</v>
      </c>
      <c r="H16" s="315" t="s">
        <v>175</v>
      </c>
    </row>
    <row r="17" spans="1:8" s="316" customFormat="1" ht="16.5">
      <c r="A17" s="323"/>
      <c r="B17" s="324"/>
      <c r="C17" s="324"/>
      <c r="D17" s="325"/>
      <c r="E17" s="325"/>
      <c r="F17" s="325"/>
      <c r="G17" s="325"/>
      <c r="H17" s="326"/>
    </row>
    <row r="18" spans="1:8" s="54" customFormat="1" ht="17.25" customHeight="1">
      <c r="A18" s="61"/>
      <c r="B18" s="62"/>
      <c r="C18" s="62"/>
      <c r="D18" s="63"/>
      <c r="E18" s="63"/>
      <c r="F18" s="63"/>
      <c r="G18" s="63"/>
      <c r="H18" s="62"/>
    </row>
    <row r="19" spans="2:7" s="64" customFormat="1" ht="49.5" customHeight="1">
      <c r="B19" s="257" t="s">
        <v>144</v>
      </c>
      <c r="C19" s="258"/>
      <c r="D19" s="258"/>
      <c r="E19" s="258"/>
      <c r="F19" s="258"/>
      <c r="G19" s="258"/>
    </row>
    <row r="20" ht="12.75">
      <c r="E20" s="53"/>
    </row>
    <row r="21" ht="12.75">
      <c r="E21" s="53"/>
    </row>
  </sheetData>
  <sheetProtection/>
  <mergeCells count="16">
    <mergeCell ref="E1:H1"/>
    <mergeCell ref="A9:C9"/>
    <mergeCell ref="A5:A7"/>
    <mergeCell ref="B5:B7"/>
    <mergeCell ref="C5:C7"/>
    <mergeCell ref="D5:D7"/>
    <mergeCell ref="H11:H14"/>
    <mergeCell ref="H16:H17"/>
    <mergeCell ref="F4:H4"/>
    <mergeCell ref="A2:H2"/>
    <mergeCell ref="A3:H3"/>
    <mergeCell ref="B19:G19"/>
    <mergeCell ref="E5:G5"/>
    <mergeCell ref="H5:H7"/>
    <mergeCell ref="E6:E7"/>
    <mergeCell ref="F6:G6"/>
  </mergeCells>
  <printOptions/>
  <pageMargins left="0.46" right="0.2" top="0.49" bottom="0.32" header="0.49" footer="0.3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T50"/>
  <sheetViews>
    <sheetView zoomScale="55" zoomScaleNormal="55" zoomScalePageLayoutView="0" workbookViewId="0" topLeftCell="A1">
      <selection activeCell="U9" sqref="U9"/>
    </sheetView>
  </sheetViews>
  <sheetFormatPr defaultColWidth="9.140625" defaultRowHeight="12.75"/>
  <cols>
    <col min="1" max="1" width="9.421875" style="2" bestFit="1" customWidth="1"/>
    <col min="2" max="2" width="30.57421875" style="2" customWidth="1"/>
    <col min="3" max="3" width="15.421875" style="2" customWidth="1"/>
    <col min="4" max="4" width="11.28125" style="2" customWidth="1"/>
    <col min="5" max="5" width="11.8515625" style="2" customWidth="1"/>
    <col min="6" max="6" width="11.28125" style="2" customWidth="1"/>
    <col min="7" max="7" width="12.00390625" style="2" bestFit="1" customWidth="1"/>
    <col min="8" max="8" width="9.421875" style="2" bestFit="1" customWidth="1"/>
    <col min="9" max="9" width="11.57421875" style="2" customWidth="1"/>
    <col min="10" max="10" width="10.8515625" style="2" customWidth="1"/>
    <col min="11" max="11" width="8.57421875" style="5" customWidth="1"/>
    <col min="12" max="14" width="10.421875" style="2" customWidth="1"/>
    <col min="15" max="15" width="13.57421875" style="2" customWidth="1"/>
    <col min="16" max="16" width="22.140625" style="2" customWidth="1"/>
    <col min="17" max="17" width="21.421875" style="7" customWidth="1"/>
    <col min="18" max="18" width="11.7109375" style="2" customWidth="1"/>
    <col min="19" max="19" width="9.140625" style="2" customWidth="1"/>
    <col min="20" max="20" width="17.00390625" style="2" customWidth="1"/>
    <col min="21" max="16384" width="9.140625" style="2" customWidth="1"/>
  </cols>
  <sheetData>
    <row r="1" spans="16:18" ht="23.25" customHeight="1">
      <c r="P1" s="281" t="s">
        <v>138</v>
      </c>
      <c r="Q1" s="281"/>
      <c r="R1" s="281"/>
    </row>
    <row r="2" spans="16:18" ht="17.25" customHeight="1" hidden="1">
      <c r="P2" s="18"/>
      <c r="Q2" s="18"/>
      <c r="R2" s="18"/>
    </row>
    <row r="3" spans="1:18" s="1" customFormat="1" ht="33.75" customHeight="1">
      <c r="A3" s="284" t="s">
        <v>58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</row>
    <row r="4" spans="1:18" s="1" customFormat="1" ht="22.5" customHeight="1">
      <c r="A4" s="285" t="s">
        <v>170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</row>
    <row r="5" spans="16:20" ht="21" customHeight="1" hidden="1">
      <c r="P5" s="19">
        <f>4416000000/O11</f>
        <v>73846153.84615386</v>
      </c>
      <c r="Q5" s="20">
        <f>1872000000/O11</f>
        <v>31304347.826086957</v>
      </c>
      <c r="T5" s="127"/>
    </row>
    <row r="6" spans="16:18" ht="28.5" customHeight="1">
      <c r="P6" s="6"/>
      <c r="Q6" s="282" t="s">
        <v>59</v>
      </c>
      <c r="R6" s="282"/>
    </row>
    <row r="7" spans="1:18" s="3" customFormat="1" ht="31.5" customHeight="1">
      <c r="A7" s="283" t="s">
        <v>26</v>
      </c>
      <c r="B7" s="283" t="s">
        <v>45</v>
      </c>
      <c r="C7" s="279" t="s">
        <v>61</v>
      </c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0"/>
      <c r="O7" s="283" t="s">
        <v>46</v>
      </c>
      <c r="P7" s="286" t="s">
        <v>36</v>
      </c>
      <c r="Q7" s="286" t="s">
        <v>47</v>
      </c>
      <c r="R7" s="283" t="s">
        <v>3</v>
      </c>
    </row>
    <row r="8" spans="1:18" s="3" customFormat="1" ht="54.75" customHeight="1">
      <c r="A8" s="283"/>
      <c r="B8" s="283"/>
      <c r="C8" s="283" t="s">
        <v>48</v>
      </c>
      <c r="D8" s="283"/>
      <c r="E8" s="283"/>
      <c r="F8" s="283"/>
      <c r="G8" s="279" t="s">
        <v>49</v>
      </c>
      <c r="H8" s="289"/>
      <c r="I8" s="289"/>
      <c r="J8" s="280"/>
      <c r="K8" s="283" t="s">
        <v>50</v>
      </c>
      <c r="L8" s="283"/>
      <c r="M8" s="279" t="s">
        <v>63</v>
      </c>
      <c r="N8" s="280"/>
      <c r="O8" s="283"/>
      <c r="P8" s="287"/>
      <c r="Q8" s="287"/>
      <c r="R8" s="283"/>
    </row>
    <row r="9" spans="1:18" s="3" customFormat="1" ht="72" customHeight="1">
      <c r="A9" s="283"/>
      <c r="B9" s="283"/>
      <c r="C9" s="8" t="s">
        <v>51</v>
      </c>
      <c r="D9" s="8" t="s">
        <v>52</v>
      </c>
      <c r="E9" s="8" t="s">
        <v>53</v>
      </c>
      <c r="F9" s="8" t="s">
        <v>52</v>
      </c>
      <c r="G9" s="8" t="s">
        <v>54</v>
      </c>
      <c r="H9" s="8" t="s">
        <v>52</v>
      </c>
      <c r="I9" s="8" t="s">
        <v>55</v>
      </c>
      <c r="J9" s="8" t="s">
        <v>52</v>
      </c>
      <c r="K9" s="9" t="s">
        <v>56</v>
      </c>
      <c r="L9" s="8" t="s">
        <v>57</v>
      </c>
      <c r="M9" s="8" t="s">
        <v>62</v>
      </c>
      <c r="N9" s="8" t="s">
        <v>57</v>
      </c>
      <c r="O9" s="283"/>
      <c r="P9" s="288"/>
      <c r="Q9" s="288"/>
      <c r="R9" s="283"/>
    </row>
    <row r="10" spans="1:18" s="4" customFormat="1" ht="30" customHeight="1">
      <c r="A10" s="10" t="s">
        <v>0</v>
      </c>
      <c r="B10" s="10" t="s">
        <v>1</v>
      </c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</row>
    <row r="11" spans="1:18" s="1" customFormat="1" ht="30.75" customHeight="1">
      <c r="A11" s="277" t="s">
        <v>60</v>
      </c>
      <c r="B11" s="278"/>
      <c r="C11" s="25">
        <f>SUM(C12:C30)</f>
        <v>1101.7900000000002</v>
      </c>
      <c r="D11" s="26"/>
      <c r="E11" s="25">
        <f>SUM(E12:E30)</f>
        <v>133.29</v>
      </c>
      <c r="F11" s="26"/>
      <c r="G11" s="26">
        <f>SUM(G12:G30)</f>
        <v>9485</v>
      </c>
      <c r="H11" s="26"/>
      <c r="I11" s="26">
        <f>SUM(I12:I30)</f>
        <v>1509</v>
      </c>
      <c r="J11" s="26"/>
      <c r="K11" s="26">
        <f>SUM(K12:K30)</f>
        <v>156</v>
      </c>
      <c r="L11" s="26"/>
      <c r="M11" s="26"/>
      <c r="N11" s="24"/>
      <c r="O11" s="27">
        <f>SUM(O12:O30)</f>
        <v>59.8</v>
      </c>
      <c r="P11" s="26">
        <f>SUM(P12:P30)</f>
        <v>4416</v>
      </c>
      <c r="Q11" s="26">
        <f>SUM(Q12:Q30)</f>
        <v>1872</v>
      </c>
      <c r="R11" s="26"/>
    </row>
    <row r="12" spans="1:18" ht="30.75" customHeight="1">
      <c r="A12" s="21">
        <v>1</v>
      </c>
      <c r="B12" s="22" t="s">
        <v>161</v>
      </c>
      <c r="C12" s="240">
        <v>55.69</v>
      </c>
      <c r="D12" s="136">
        <v>0.6</v>
      </c>
      <c r="E12" s="135">
        <v>9.32</v>
      </c>
      <c r="F12" s="136">
        <v>0.3</v>
      </c>
      <c r="G12" s="241">
        <v>651</v>
      </c>
      <c r="H12" s="136">
        <v>0.7</v>
      </c>
      <c r="I12" s="131">
        <v>109</v>
      </c>
      <c r="J12" s="136">
        <v>0.45</v>
      </c>
      <c r="K12" s="131">
        <v>10</v>
      </c>
      <c r="L12" s="137">
        <v>1.3</v>
      </c>
      <c r="M12" s="137"/>
      <c r="N12" s="137"/>
      <c r="O12" s="130">
        <f>SUM(D12,F12,H12,J12,L12,N12)</f>
        <v>3.3499999999999996</v>
      </c>
      <c r="P12" s="131">
        <f>ROUND($P$5*O12,-6)/1000000</f>
        <v>247</v>
      </c>
      <c r="Q12" s="131">
        <f>ROUND($Q$5*O12,-6)/1000000</f>
        <v>105</v>
      </c>
      <c r="R12" s="23"/>
    </row>
    <row r="13" spans="1:18" ht="30.75" customHeight="1">
      <c r="A13" s="11">
        <v>2</v>
      </c>
      <c r="B13" s="12" t="s">
        <v>160</v>
      </c>
      <c r="C13" s="138">
        <v>50.41</v>
      </c>
      <c r="D13" s="139">
        <v>0.6</v>
      </c>
      <c r="E13" s="138">
        <v>10.93</v>
      </c>
      <c r="F13" s="139">
        <v>0.5</v>
      </c>
      <c r="G13" s="139">
        <v>558</v>
      </c>
      <c r="H13" s="139">
        <v>0.6</v>
      </c>
      <c r="I13" s="132">
        <v>121</v>
      </c>
      <c r="J13" s="139">
        <v>0.45</v>
      </c>
      <c r="K13" s="132">
        <v>7</v>
      </c>
      <c r="L13" s="140">
        <v>1.15</v>
      </c>
      <c r="M13" s="140"/>
      <c r="N13" s="140"/>
      <c r="O13" s="130">
        <f aca="true" t="shared" si="0" ref="O13:O30">SUM(D13,F13,H13,J13,L13,N13)</f>
        <v>3.3000000000000003</v>
      </c>
      <c r="P13" s="131">
        <f>ROUND($P$5*O13,-6)/1000000</f>
        <v>244</v>
      </c>
      <c r="Q13" s="131">
        <f>ROUND($Q$5*O13,-6)/1000000</f>
        <v>103</v>
      </c>
      <c r="R13" s="13"/>
    </row>
    <row r="14" spans="1:18" ht="30.75" customHeight="1">
      <c r="A14" s="21">
        <v>3</v>
      </c>
      <c r="B14" s="12" t="s">
        <v>163</v>
      </c>
      <c r="C14" s="138">
        <v>65.04</v>
      </c>
      <c r="D14" s="139">
        <v>0.7</v>
      </c>
      <c r="E14" s="138">
        <v>11.34</v>
      </c>
      <c r="F14" s="139">
        <v>0.5</v>
      </c>
      <c r="G14" s="139">
        <v>545</v>
      </c>
      <c r="H14" s="139">
        <v>0.6</v>
      </c>
      <c r="I14" s="132">
        <v>95</v>
      </c>
      <c r="J14" s="139">
        <v>0.3</v>
      </c>
      <c r="K14" s="132">
        <v>8</v>
      </c>
      <c r="L14" s="140">
        <v>1.15</v>
      </c>
      <c r="M14" s="140"/>
      <c r="N14" s="140"/>
      <c r="O14" s="130">
        <f t="shared" si="0"/>
        <v>3.2499999999999996</v>
      </c>
      <c r="P14" s="131">
        <f>ROUND($P$5*O14,-6)/1000000</f>
        <v>240</v>
      </c>
      <c r="Q14" s="131">
        <f>ROUND($Q$5*O14,-6)/1000000</f>
        <v>102</v>
      </c>
      <c r="R14" s="13"/>
    </row>
    <row r="15" spans="1:18" ht="30.75" customHeight="1">
      <c r="A15" s="11">
        <v>4</v>
      </c>
      <c r="B15" s="12" t="s">
        <v>164</v>
      </c>
      <c r="C15" s="138">
        <v>67.07</v>
      </c>
      <c r="D15" s="139">
        <v>0.7</v>
      </c>
      <c r="E15" s="138">
        <v>1.5</v>
      </c>
      <c r="F15" s="139">
        <v>0.3</v>
      </c>
      <c r="G15" s="139">
        <v>448</v>
      </c>
      <c r="H15" s="139">
        <v>0.6</v>
      </c>
      <c r="I15" s="132">
        <v>10</v>
      </c>
      <c r="J15" s="139">
        <v>0.3</v>
      </c>
      <c r="K15" s="132">
        <v>7</v>
      </c>
      <c r="L15" s="140">
        <v>1.15</v>
      </c>
      <c r="M15" s="140"/>
      <c r="N15" s="140"/>
      <c r="O15" s="130">
        <f t="shared" si="0"/>
        <v>3.05</v>
      </c>
      <c r="P15" s="144">
        <f>ROUND($P$5*O15,-6)/1000000+1</f>
        <v>226</v>
      </c>
      <c r="Q15" s="144">
        <f>ROUND($Q$5*O15,-6)/1000000+1</f>
        <v>96</v>
      </c>
      <c r="R15" s="13"/>
    </row>
    <row r="16" spans="1:18" ht="30.75" customHeight="1">
      <c r="A16" s="21">
        <v>5</v>
      </c>
      <c r="B16" s="12" t="s">
        <v>167</v>
      </c>
      <c r="C16" s="138">
        <v>59.91</v>
      </c>
      <c r="D16" s="139">
        <v>0.6</v>
      </c>
      <c r="E16" s="138">
        <v>4.26</v>
      </c>
      <c r="F16" s="139">
        <v>0.3</v>
      </c>
      <c r="G16" s="139">
        <v>704</v>
      </c>
      <c r="H16" s="139">
        <v>0.7</v>
      </c>
      <c r="I16" s="132">
        <v>50</v>
      </c>
      <c r="J16" s="139">
        <v>0.3</v>
      </c>
      <c r="K16" s="132">
        <v>12</v>
      </c>
      <c r="L16" s="140">
        <v>1.3</v>
      </c>
      <c r="M16" s="140"/>
      <c r="N16" s="140"/>
      <c r="O16" s="130">
        <f t="shared" si="0"/>
        <v>3.2</v>
      </c>
      <c r="P16" s="131">
        <f>ROUND($P$5*O16,-6)/1000000</f>
        <v>236</v>
      </c>
      <c r="Q16" s="131">
        <f>ROUND($Q$5*O16,-6)/1000000</f>
        <v>100</v>
      </c>
      <c r="R16" s="13"/>
    </row>
    <row r="17" spans="1:18" ht="30.75" customHeight="1">
      <c r="A17" s="11">
        <v>6</v>
      </c>
      <c r="B17" s="12" t="s">
        <v>166</v>
      </c>
      <c r="C17" s="138">
        <v>59.25</v>
      </c>
      <c r="D17" s="139">
        <v>0.6</v>
      </c>
      <c r="E17" s="138">
        <v>4.24</v>
      </c>
      <c r="F17" s="139">
        <v>0.3</v>
      </c>
      <c r="G17" s="139">
        <v>349</v>
      </c>
      <c r="H17" s="139">
        <v>0.5</v>
      </c>
      <c r="I17" s="132">
        <v>25</v>
      </c>
      <c r="J17" s="139">
        <v>0.3</v>
      </c>
      <c r="K17" s="132">
        <v>8</v>
      </c>
      <c r="L17" s="140">
        <v>1.15</v>
      </c>
      <c r="M17" s="140"/>
      <c r="N17" s="140"/>
      <c r="O17" s="130">
        <f t="shared" si="0"/>
        <v>2.8499999999999996</v>
      </c>
      <c r="P17" s="131">
        <f>ROUND($P$5*O17,-6)/1000000</f>
        <v>210</v>
      </c>
      <c r="Q17" s="131">
        <f>ROUND($Q$5*O17,-6)/1000000</f>
        <v>89</v>
      </c>
      <c r="R17" s="13"/>
    </row>
    <row r="18" spans="1:18" ht="30.75" customHeight="1">
      <c r="A18" s="21">
        <v>7</v>
      </c>
      <c r="B18" s="12" t="s">
        <v>165</v>
      </c>
      <c r="C18" s="138">
        <v>64.94</v>
      </c>
      <c r="D18" s="139">
        <v>0.7</v>
      </c>
      <c r="E18" s="138">
        <v>9.53</v>
      </c>
      <c r="F18" s="139">
        <v>0.3</v>
      </c>
      <c r="G18" s="139">
        <v>402</v>
      </c>
      <c r="H18" s="139">
        <v>0.6</v>
      </c>
      <c r="I18" s="132">
        <v>59</v>
      </c>
      <c r="J18" s="139">
        <v>0.3</v>
      </c>
      <c r="K18" s="132">
        <v>6</v>
      </c>
      <c r="L18" s="140">
        <v>1.15</v>
      </c>
      <c r="M18" s="140"/>
      <c r="N18" s="140"/>
      <c r="O18" s="130">
        <f t="shared" si="0"/>
        <v>3.05</v>
      </c>
      <c r="P18" s="131">
        <f>ROUND($P$5*O18,-6)/1000000</f>
        <v>225</v>
      </c>
      <c r="Q18" s="131">
        <f>ROUND($Q$5*O18,-6)/1000000</f>
        <v>95</v>
      </c>
      <c r="R18" s="13"/>
    </row>
    <row r="19" spans="1:18" ht="30.75" customHeight="1">
      <c r="A19" s="11">
        <v>8</v>
      </c>
      <c r="B19" s="12" t="s">
        <v>162</v>
      </c>
      <c r="C19" s="138">
        <v>76.43</v>
      </c>
      <c r="D19" s="139">
        <v>0.7</v>
      </c>
      <c r="E19" s="138">
        <v>6.96</v>
      </c>
      <c r="F19" s="139">
        <v>0.3</v>
      </c>
      <c r="G19" s="139">
        <v>428</v>
      </c>
      <c r="H19" s="139">
        <v>0.6</v>
      </c>
      <c r="I19" s="132">
        <v>39</v>
      </c>
      <c r="J19" s="139">
        <v>0.3</v>
      </c>
      <c r="K19" s="132">
        <v>6</v>
      </c>
      <c r="L19" s="140">
        <v>1.15</v>
      </c>
      <c r="M19" s="140"/>
      <c r="N19" s="140"/>
      <c r="O19" s="130">
        <f t="shared" si="0"/>
        <v>3.05</v>
      </c>
      <c r="P19" s="131">
        <f>ROUND($P$5*O19,-6)/1000000</f>
        <v>225</v>
      </c>
      <c r="Q19" s="131">
        <f>ROUND($Q$5*O19,-6)/1000000</f>
        <v>95</v>
      </c>
      <c r="R19" s="13"/>
    </row>
    <row r="20" spans="1:18" ht="30.75" customHeight="1">
      <c r="A20" s="11">
        <v>9</v>
      </c>
      <c r="B20" s="12" t="s">
        <v>150</v>
      </c>
      <c r="C20" s="138">
        <v>66.5</v>
      </c>
      <c r="D20" s="139">
        <v>0.7</v>
      </c>
      <c r="E20" s="138">
        <v>10.26</v>
      </c>
      <c r="F20" s="139">
        <v>0.5</v>
      </c>
      <c r="G20" s="139">
        <v>778</v>
      </c>
      <c r="H20" s="139">
        <v>0.7</v>
      </c>
      <c r="I20" s="132">
        <v>120</v>
      </c>
      <c r="J20" s="139">
        <v>0.45</v>
      </c>
      <c r="K20" s="132">
        <v>10</v>
      </c>
      <c r="L20" s="140">
        <v>1.3</v>
      </c>
      <c r="M20" s="140"/>
      <c r="N20" s="140"/>
      <c r="O20" s="130">
        <f t="shared" si="0"/>
        <v>3.6500000000000004</v>
      </c>
      <c r="P20" s="131">
        <f>ROUND($P$5*O20,-6)/1000000</f>
        <v>270</v>
      </c>
      <c r="Q20" s="144">
        <f>ROUND($Q$5*O20,-6)/1000000+1</f>
        <v>115</v>
      </c>
      <c r="R20" s="13"/>
    </row>
    <row r="21" spans="1:18" ht="30.75" customHeight="1">
      <c r="A21" s="11">
        <v>10</v>
      </c>
      <c r="B21" s="12" t="s">
        <v>153</v>
      </c>
      <c r="C21" s="138">
        <v>57.21</v>
      </c>
      <c r="D21" s="139">
        <v>0.6</v>
      </c>
      <c r="E21" s="138">
        <v>4.65</v>
      </c>
      <c r="F21" s="139">
        <v>0.3</v>
      </c>
      <c r="G21" s="139">
        <v>468</v>
      </c>
      <c r="H21" s="139">
        <v>0.6</v>
      </c>
      <c r="I21" s="132">
        <v>38</v>
      </c>
      <c r="J21" s="139">
        <v>0.3</v>
      </c>
      <c r="K21" s="132">
        <v>8</v>
      </c>
      <c r="L21" s="140">
        <v>1.15</v>
      </c>
      <c r="M21" s="140"/>
      <c r="N21" s="140"/>
      <c r="O21" s="130">
        <f t="shared" si="0"/>
        <v>2.95</v>
      </c>
      <c r="P21" s="131">
        <f>ROUND($P$5*O21,-6)/1000000</f>
        <v>218</v>
      </c>
      <c r="Q21" s="131">
        <f>ROUND($Q$5*O21,-6)/1000000</f>
        <v>92</v>
      </c>
      <c r="R21" s="13"/>
    </row>
    <row r="22" spans="1:18" ht="30.75" customHeight="1">
      <c r="A22" s="11">
        <v>11</v>
      </c>
      <c r="B22" s="12" t="s">
        <v>157</v>
      </c>
      <c r="C22" s="138">
        <v>89.71</v>
      </c>
      <c r="D22" s="139">
        <v>0.7</v>
      </c>
      <c r="E22" s="138">
        <v>4.63</v>
      </c>
      <c r="F22" s="139">
        <v>0.3</v>
      </c>
      <c r="G22" s="139">
        <v>523</v>
      </c>
      <c r="H22" s="139">
        <v>0.6</v>
      </c>
      <c r="I22" s="132">
        <v>27</v>
      </c>
      <c r="J22" s="139">
        <v>0.3</v>
      </c>
      <c r="K22" s="132">
        <v>10</v>
      </c>
      <c r="L22" s="140">
        <v>1.3</v>
      </c>
      <c r="M22" s="140"/>
      <c r="N22" s="140"/>
      <c r="O22" s="130">
        <f t="shared" si="0"/>
        <v>3.2</v>
      </c>
      <c r="P22" s="144">
        <f>ROUND($P$5*O22,-6)/1000000+1</f>
        <v>237</v>
      </c>
      <c r="Q22" s="144">
        <f>ROUND($Q$5*O22,-6)/1000000+1</f>
        <v>101</v>
      </c>
      <c r="R22" s="13"/>
    </row>
    <row r="23" spans="1:18" ht="30.75" customHeight="1">
      <c r="A23" s="11">
        <v>12</v>
      </c>
      <c r="B23" s="12" t="s">
        <v>156</v>
      </c>
      <c r="C23" s="138">
        <v>42.51</v>
      </c>
      <c r="D23" s="139">
        <v>0.6</v>
      </c>
      <c r="E23" s="138">
        <v>18.45</v>
      </c>
      <c r="F23" s="139">
        <v>0.5</v>
      </c>
      <c r="G23" s="139">
        <v>772</v>
      </c>
      <c r="H23" s="139">
        <v>0.7</v>
      </c>
      <c r="I23" s="132">
        <v>335</v>
      </c>
      <c r="J23" s="139">
        <v>0.5</v>
      </c>
      <c r="K23" s="132">
        <v>13</v>
      </c>
      <c r="L23" s="140">
        <v>1.3</v>
      </c>
      <c r="M23" s="140"/>
      <c r="N23" s="140"/>
      <c r="O23" s="130">
        <f t="shared" si="0"/>
        <v>3.5999999999999996</v>
      </c>
      <c r="P23" s="131">
        <f>ROUND($P$5*O23,-6)/1000000</f>
        <v>266</v>
      </c>
      <c r="Q23" s="131">
        <f>ROUND($Q$5*O23,-6)/1000000</f>
        <v>113</v>
      </c>
      <c r="R23" s="13"/>
    </row>
    <row r="24" spans="1:18" ht="30.75" customHeight="1">
      <c r="A24" s="11">
        <v>13</v>
      </c>
      <c r="B24" s="12" t="s">
        <v>154</v>
      </c>
      <c r="C24" s="138">
        <v>43.7</v>
      </c>
      <c r="D24" s="139">
        <v>0.6</v>
      </c>
      <c r="E24" s="138">
        <v>13.01</v>
      </c>
      <c r="F24" s="139">
        <v>0.5</v>
      </c>
      <c r="G24" s="139">
        <v>635</v>
      </c>
      <c r="H24" s="139">
        <v>0.7</v>
      </c>
      <c r="I24" s="132">
        <v>189</v>
      </c>
      <c r="J24" s="139">
        <v>0.45</v>
      </c>
      <c r="K24" s="132">
        <v>11</v>
      </c>
      <c r="L24" s="140">
        <v>1.3</v>
      </c>
      <c r="M24" s="140"/>
      <c r="N24" s="140"/>
      <c r="O24" s="130">
        <f t="shared" si="0"/>
        <v>3.55</v>
      </c>
      <c r="P24" s="131">
        <f>ROUND($P$5*O24,-6)/1000000</f>
        <v>262</v>
      </c>
      <c r="Q24" s="131">
        <f>ROUND($Q$5*O24,-6)/1000000</f>
        <v>111</v>
      </c>
      <c r="R24" s="13"/>
    </row>
    <row r="25" spans="1:18" ht="30.75" customHeight="1">
      <c r="A25" s="11">
        <v>14</v>
      </c>
      <c r="B25" s="12" t="s">
        <v>155</v>
      </c>
      <c r="C25" s="138">
        <v>30.68</v>
      </c>
      <c r="D25" s="139">
        <v>0.6</v>
      </c>
      <c r="E25" s="138">
        <v>6.49</v>
      </c>
      <c r="F25" s="139">
        <v>0.3</v>
      </c>
      <c r="G25" s="139">
        <v>610</v>
      </c>
      <c r="H25" s="139">
        <v>0.7</v>
      </c>
      <c r="I25" s="132">
        <v>129</v>
      </c>
      <c r="J25" s="139">
        <v>0.45</v>
      </c>
      <c r="K25" s="132">
        <v>16</v>
      </c>
      <c r="L25" s="140">
        <v>1.5</v>
      </c>
      <c r="M25" s="140"/>
      <c r="N25" s="140"/>
      <c r="O25" s="130">
        <f t="shared" si="0"/>
        <v>3.55</v>
      </c>
      <c r="P25" s="131">
        <f>ROUND($P$5*O25,-6)/1000000</f>
        <v>262</v>
      </c>
      <c r="Q25" s="131">
        <f>ROUND($Q$5*O25,-6)/1000000</f>
        <v>111</v>
      </c>
      <c r="R25" s="13"/>
    </row>
    <row r="26" spans="1:18" ht="30.75" customHeight="1">
      <c r="A26" s="11">
        <v>15</v>
      </c>
      <c r="B26" s="12" t="s">
        <v>151</v>
      </c>
      <c r="C26" s="138">
        <v>65.82</v>
      </c>
      <c r="D26" s="139">
        <v>0.7</v>
      </c>
      <c r="E26" s="138">
        <v>8.24</v>
      </c>
      <c r="F26" s="139">
        <v>0.3</v>
      </c>
      <c r="G26" s="139">
        <v>495</v>
      </c>
      <c r="H26" s="139">
        <v>0.6</v>
      </c>
      <c r="I26" s="132">
        <v>62</v>
      </c>
      <c r="J26" s="139">
        <v>0.3</v>
      </c>
      <c r="K26" s="132">
        <v>6</v>
      </c>
      <c r="L26" s="140">
        <v>1.15</v>
      </c>
      <c r="M26" s="140"/>
      <c r="N26" s="140"/>
      <c r="O26" s="130">
        <f t="shared" si="0"/>
        <v>3.05</v>
      </c>
      <c r="P26" s="131">
        <f>ROUND($P$5*O26,-6)/1000000</f>
        <v>225</v>
      </c>
      <c r="Q26" s="131">
        <f>ROUND($Q$5*O26,-6)/1000000</f>
        <v>95</v>
      </c>
      <c r="R26" s="13"/>
    </row>
    <row r="27" spans="1:18" ht="30.75" customHeight="1">
      <c r="A27" s="11">
        <v>16</v>
      </c>
      <c r="B27" s="12" t="s">
        <v>152</v>
      </c>
      <c r="C27" s="138">
        <v>65.13</v>
      </c>
      <c r="D27" s="139">
        <v>0.7</v>
      </c>
      <c r="E27" s="138">
        <v>3.58</v>
      </c>
      <c r="F27" s="139">
        <v>0.3</v>
      </c>
      <c r="G27" s="139">
        <v>510</v>
      </c>
      <c r="H27" s="139">
        <v>0.6</v>
      </c>
      <c r="I27" s="132">
        <v>28</v>
      </c>
      <c r="J27" s="139">
        <v>0.3</v>
      </c>
      <c r="K27" s="132">
        <v>6</v>
      </c>
      <c r="L27" s="140">
        <v>1.15</v>
      </c>
      <c r="M27" s="140"/>
      <c r="N27" s="140"/>
      <c r="O27" s="130">
        <f t="shared" si="0"/>
        <v>3.05</v>
      </c>
      <c r="P27" s="131">
        <f>ROUND($P$5*O27,-6)/1000000</f>
        <v>225</v>
      </c>
      <c r="Q27" s="131">
        <f>ROUND($Q$5*O27,-6)/1000000</f>
        <v>95</v>
      </c>
      <c r="R27" s="13"/>
    </row>
    <row r="28" spans="1:18" ht="30.75" customHeight="1">
      <c r="A28" s="11">
        <v>17</v>
      </c>
      <c r="B28" s="12" t="s">
        <v>159</v>
      </c>
      <c r="C28" s="138">
        <v>74.43</v>
      </c>
      <c r="D28" s="139">
        <v>0.7</v>
      </c>
      <c r="E28" s="138">
        <v>0.66</v>
      </c>
      <c r="F28" s="139">
        <v>0.3</v>
      </c>
      <c r="G28" s="139">
        <v>227</v>
      </c>
      <c r="H28" s="139">
        <v>0.5</v>
      </c>
      <c r="I28" s="132">
        <v>2</v>
      </c>
      <c r="J28" s="139">
        <v>0.3</v>
      </c>
      <c r="K28" s="132">
        <v>5</v>
      </c>
      <c r="L28" s="140">
        <v>1.15</v>
      </c>
      <c r="M28" s="140"/>
      <c r="N28" s="140"/>
      <c r="O28" s="130">
        <f t="shared" si="0"/>
        <v>2.95</v>
      </c>
      <c r="P28" s="131">
        <f>ROUND($P$5*O28,-6)/1000000</f>
        <v>218</v>
      </c>
      <c r="Q28" s="144">
        <f>ROUND($Q$5*O28,-6)/1000000+1</f>
        <v>93</v>
      </c>
      <c r="R28" s="13"/>
    </row>
    <row r="29" spans="1:18" ht="30.75" customHeight="1">
      <c r="A29" s="11">
        <v>18</v>
      </c>
      <c r="B29" s="12" t="s">
        <v>158</v>
      </c>
      <c r="C29" s="138">
        <v>66.42</v>
      </c>
      <c r="D29" s="139">
        <v>0.7</v>
      </c>
      <c r="E29" s="138">
        <v>2.57</v>
      </c>
      <c r="F29" s="139">
        <v>0.3</v>
      </c>
      <c r="G29" s="139">
        <v>362</v>
      </c>
      <c r="H29" s="139">
        <v>0.5</v>
      </c>
      <c r="I29" s="132">
        <v>14</v>
      </c>
      <c r="J29" s="139">
        <v>0.3</v>
      </c>
      <c r="K29" s="132">
        <v>7</v>
      </c>
      <c r="L29" s="140">
        <v>1.15</v>
      </c>
      <c r="M29" s="140"/>
      <c r="N29" s="140"/>
      <c r="O29" s="130">
        <f t="shared" si="0"/>
        <v>2.95</v>
      </c>
      <c r="P29" s="131">
        <f>ROUND($P$5*O29,-6)/1000000</f>
        <v>218</v>
      </c>
      <c r="Q29" s="131">
        <f>ROUND($Q$5*O29,-6)/1000000</f>
        <v>92</v>
      </c>
      <c r="R29" s="13"/>
    </row>
    <row r="30" spans="1:18" ht="30.75" customHeight="1">
      <c r="A30" s="14">
        <v>19</v>
      </c>
      <c r="B30" s="128" t="s">
        <v>171</v>
      </c>
      <c r="C30" s="141">
        <v>0.94</v>
      </c>
      <c r="D30" s="142">
        <v>0.3</v>
      </c>
      <c r="E30" s="141">
        <v>2.67</v>
      </c>
      <c r="F30" s="142">
        <v>0.3</v>
      </c>
      <c r="G30" s="142">
        <v>20</v>
      </c>
      <c r="H30" s="142">
        <v>0.3</v>
      </c>
      <c r="I30" s="134">
        <v>57</v>
      </c>
      <c r="J30" s="142">
        <v>0.3</v>
      </c>
      <c r="K30" s="134"/>
      <c r="L30" s="143">
        <v>1</v>
      </c>
      <c r="M30" s="143"/>
      <c r="N30" s="143"/>
      <c r="O30" s="133">
        <f t="shared" si="0"/>
        <v>2.2</v>
      </c>
      <c r="P30" s="134">
        <f>ROUND($P$5*O30,-6)/1000000</f>
        <v>162</v>
      </c>
      <c r="Q30" s="134">
        <f>ROUND($Q$5*O30,-6)/1000000</f>
        <v>69</v>
      </c>
      <c r="R30" s="129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6"/>
      <c r="L31" s="15"/>
      <c r="M31" s="15"/>
      <c r="N31" s="15"/>
      <c r="O31" s="15"/>
      <c r="P31" s="15"/>
      <c r="Q31" s="17"/>
    </row>
    <row r="32" spans="1:17" ht="38.25" customHeight="1">
      <c r="A32" s="28" t="s">
        <v>39</v>
      </c>
      <c r="B32" s="291" t="s">
        <v>172</v>
      </c>
      <c r="C32" s="291"/>
      <c r="D32" s="291"/>
      <c r="E32" s="291"/>
      <c r="F32" s="291"/>
      <c r="G32" s="291"/>
      <c r="H32" s="291"/>
      <c r="I32" s="28" t="s">
        <v>41</v>
      </c>
      <c r="J32" s="291" t="s">
        <v>173</v>
      </c>
      <c r="K32" s="290"/>
      <c r="L32" s="290"/>
      <c r="M32" s="290"/>
      <c r="N32" s="290"/>
      <c r="O32" s="290"/>
      <c r="P32" s="290"/>
      <c r="Q32" s="290"/>
    </row>
    <row r="33" spans="1:17" ht="25.5" customHeight="1">
      <c r="A33" s="2">
        <v>1</v>
      </c>
      <c r="B33" s="290" t="s">
        <v>65</v>
      </c>
      <c r="C33" s="290"/>
      <c r="D33" s="290"/>
      <c r="E33" s="290"/>
      <c r="F33" s="290"/>
      <c r="G33" s="290"/>
      <c r="H33" s="290"/>
      <c r="I33" s="29">
        <v>1</v>
      </c>
      <c r="J33" s="290" t="s">
        <v>65</v>
      </c>
      <c r="K33" s="290"/>
      <c r="L33" s="290"/>
      <c r="M33" s="290"/>
      <c r="N33" s="290"/>
      <c r="O33" s="290"/>
      <c r="P33" s="290"/>
      <c r="Q33" s="290"/>
    </row>
    <row r="34" spans="2:17" ht="25.5" customHeight="1">
      <c r="B34" s="290" t="s">
        <v>66</v>
      </c>
      <c r="C34" s="290"/>
      <c r="D34" s="290"/>
      <c r="E34" s="290"/>
      <c r="F34" s="290"/>
      <c r="G34" s="290"/>
      <c r="H34" s="290"/>
      <c r="I34" s="29"/>
      <c r="J34" s="290" t="s">
        <v>66</v>
      </c>
      <c r="K34" s="290"/>
      <c r="L34" s="290"/>
      <c r="M34" s="290"/>
      <c r="N34" s="290"/>
      <c r="O34" s="290"/>
      <c r="P34" s="290"/>
      <c r="Q34" s="290"/>
    </row>
    <row r="35" spans="2:17" ht="25.5" customHeight="1">
      <c r="B35" s="290" t="s">
        <v>67</v>
      </c>
      <c r="C35" s="290"/>
      <c r="D35" s="290"/>
      <c r="E35" s="290"/>
      <c r="F35" s="290"/>
      <c r="G35" s="290"/>
      <c r="H35" s="290"/>
      <c r="I35" s="29"/>
      <c r="J35" s="290" t="s">
        <v>67</v>
      </c>
      <c r="K35" s="290"/>
      <c r="L35" s="290"/>
      <c r="M35" s="290"/>
      <c r="N35" s="290"/>
      <c r="O35" s="290"/>
      <c r="P35" s="290"/>
      <c r="Q35" s="290"/>
    </row>
    <row r="36" spans="2:17" ht="25.5" customHeight="1">
      <c r="B36" s="290" t="s">
        <v>69</v>
      </c>
      <c r="C36" s="290"/>
      <c r="D36" s="290"/>
      <c r="E36" s="290"/>
      <c r="F36" s="290"/>
      <c r="G36" s="290"/>
      <c r="H36" s="290"/>
      <c r="I36" s="29"/>
      <c r="J36" s="290" t="s">
        <v>69</v>
      </c>
      <c r="K36" s="290"/>
      <c r="L36" s="290"/>
      <c r="M36" s="290"/>
      <c r="N36" s="290"/>
      <c r="O36" s="290"/>
      <c r="P36" s="290"/>
      <c r="Q36" s="290"/>
    </row>
    <row r="37" spans="2:17" ht="25.5" customHeight="1">
      <c r="B37" s="290" t="s">
        <v>68</v>
      </c>
      <c r="C37" s="290"/>
      <c r="D37" s="290"/>
      <c r="E37" s="290"/>
      <c r="F37" s="290"/>
      <c r="G37" s="290"/>
      <c r="H37" s="290"/>
      <c r="I37" s="29"/>
      <c r="J37" s="290" t="s">
        <v>68</v>
      </c>
      <c r="K37" s="290"/>
      <c r="L37" s="290"/>
      <c r="M37" s="290"/>
      <c r="N37" s="290"/>
      <c r="O37" s="290"/>
      <c r="P37" s="290"/>
      <c r="Q37" s="290"/>
    </row>
    <row r="38" spans="1:17" ht="25.5" customHeight="1">
      <c r="A38" s="2">
        <v>2</v>
      </c>
      <c r="B38" s="290" t="s">
        <v>70</v>
      </c>
      <c r="C38" s="290"/>
      <c r="D38" s="290"/>
      <c r="E38" s="290"/>
      <c r="F38" s="290"/>
      <c r="G38" s="290"/>
      <c r="H38" s="290"/>
      <c r="I38" s="29">
        <v>2</v>
      </c>
      <c r="J38" s="290" t="s">
        <v>70</v>
      </c>
      <c r="K38" s="290"/>
      <c r="L38" s="290"/>
      <c r="M38" s="290"/>
      <c r="N38" s="290"/>
      <c r="O38" s="290"/>
      <c r="P38" s="290"/>
      <c r="Q38" s="290"/>
    </row>
    <row r="39" spans="2:17" ht="25.5" customHeight="1">
      <c r="B39" s="290" t="s">
        <v>71</v>
      </c>
      <c r="C39" s="290"/>
      <c r="D39" s="290"/>
      <c r="E39" s="290"/>
      <c r="F39" s="290"/>
      <c r="G39" s="290"/>
      <c r="H39" s="290"/>
      <c r="I39" s="29"/>
      <c r="J39" s="290" t="s">
        <v>71</v>
      </c>
      <c r="K39" s="290"/>
      <c r="L39" s="290"/>
      <c r="M39" s="290"/>
      <c r="N39" s="290"/>
      <c r="O39" s="290"/>
      <c r="P39" s="290"/>
      <c r="Q39" s="290"/>
    </row>
    <row r="40" spans="2:17" ht="25.5" customHeight="1">
      <c r="B40" s="290" t="s">
        <v>72</v>
      </c>
      <c r="C40" s="290"/>
      <c r="D40" s="290"/>
      <c r="E40" s="290"/>
      <c r="F40" s="290"/>
      <c r="G40" s="290"/>
      <c r="H40" s="290"/>
      <c r="I40" s="29"/>
      <c r="J40" s="290" t="s">
        <v>72</v>
      </c>
      <c r="K40" s="290"/>
      <c r="L40" s="290"/>
      <c r="M40" s="290"/>
      <c r="N40" s="290"/>
      <c r="O40" s="290"/>
      <c r="P40" s="290"/>
      <c r="Q40" s="290"/>
    </row>
    <row r="41" spans="2:17" ht="25.5" customHeight="1">
      <c r="B41" s="290" t="s">
        <v>73</v>
      </c>
      <c r="C41" s="290"/>
      <c r="D41" s="290"/>
      <c r="E41" s="290"/>
      <c r="F41" s="290"/>
      <c r="G41" s="290"/>
      <c r="H41" s="290"/>
      <c r="I41" s="29"/>
      <c r="J41" s="290" t="s">
        <v>73</v>
      </c>
      <c r="K41" s="290"/>
      <c r="L41" s="290"/>
      <c r="M41" s="290"/>
      <c r="N41" s="290"/>
      <c r="O41" s="290"/>
      <c r="P41" s="290"/>
      <c r="Q41" s="290"/>
    </row>
    <row r="42" spans="2:17" ht="25.5" customHeight="1">
      <c r="B42" s="290" t="s">
        <v>74</v>
      </c>
      <c r="C42" s="290"/>
      <c r="D42" s="290"/>
      <c r="E42" s="290"/>
      <c r="F42" s="290"/>
      <c r="G42" s="290"/>
      <c r="H42" s="290"/>
      <c r="I42" s="29"/>
      <c r="J42" s="290" t="s">
        <v>74</v>
      </c>
      <c r="K42" s="290"/>
      <c r="L42" s="290"/>
      <c r="M42" s="290"/>
      <c r="N42" s="290"/>
      <c r="O42" s="290"/>
      <c r="P42" s="290"/>
      <c r="Q42" s="290"/>
    </row>
    <row r="43" spans="2:17" ht="25.5" customHeight="1">
      <c r="B43" s="290" t="s">
        <v>75</v>
      </c>
      <c r="C43" s="290"/>
      <c r="D43" s="290"/>
      <c r="E43" s="290"/>
      <c r="F43" s="290"/>
      <c r="G43" s="290"/>
      <c r="H43" s="290"/>
      <c r="I43" s="29"/>
      <c r="J43" s="290" t="s">
        <v>75</v>
      </c>
      <c r="K43" s="290"/>
      <c r="L43" s="290"/>
      <c r="M43" s="290"/>
      <c r="N43" s="290"/>
      <c r="O43" s="290"/>
      <c r="P43" s="290"/>
      <c r="Q43" s="290"/>
    </row>
    <row r="44" spans="1:17" ht="25.5" customHeight="1">
      <c r="A44" s="2">
        <v>3</v>
      </c>
      <c r="B44" s="290" t="s">
        <v>64</v>
      </c>
      <c r="C44" s="290"/>
      <c r="D44" s="290"/>
      <c r="E44" s="290"/>
      <c r="F44" s="290"/>
      <c r="G44" s="290"/>
      <c r="H44" s="290"/>
      <c r="I44" s="29">
        <v>3</v>
      </c>
      <c r="J44" s="290" t="s">
        <v>64</v>
      </c>
      <c r="K44" s="290"/>
      <c r="L44" s="290"/>
      <c r="M44" s="290"/>
      <c r="N44" s="290"/>
      <c r="O44" s="290"/>
      <c r="P44" s="290"/>
      <c r="Q44" s="290"/>
    </row>
    <row r="45" spans="2:17" ht="25.5" customHeight="1">
      <c r="B45" s="290" t="s">
        <v>76</v>
      </c>
      <c r="C45" s="290"/>
      <c r="D45" s="290"/>
      <c r="E45" s="290"/>
      <c r="F45" s="290"/>
      <c r="G45" s="290"/>
      <c r="H45" s="290"/>
      <c r="I45" s="29"/>
      <c r="J45" s="290" t="s">
        <v>76</v>
      </c>
      <c r="K45" s="290"/>
      <c r="L45" s="290"/>
      <c r="M45" s="290"/>
      <c r="N45" s="290"/>
      <c r="O45" s="290"/>
      <c r="P45" s="290"/>
      <c r="Q45" s="290"/>
    </row>
    <row r="46" spans="2:17" ht="25.5" customHeight="1">
      <c r="B46" s="290" t="s">
        <v>77</v>
      </c>
      <c r="C46" s="290"/>
      <c r="D46" s="290"/>
      <c r="E46" s="290"/>
      <c r="F46" s="290"/>
      <c r="G46" s="290"/>
      <c r="H46" s="290"/>
      <c r="I46" s="29"/>
      <c r="J46" s="290" t="s">
        <v>77</v>
      </c>
      <c r="K46" s="290"/>
      <c r="L46" s="290"/>
      <c r="M46" s="290"/>
      <c r="N46" s="290"/>
      <c r="O46" s="290"/>
      <c r="P46" s="290"/>
      <c r="Q46" s="290"/>
    </row>
    <row r="47" spans="2:17" ht="25.5" customHeight="1">
      <c r="B47" s="290" t="s">
        <v>78</v>
      </c>
      <c r="C47" s="290"/>
      <c r="D47" s="290"/>
      <c r="E47" s="290"/>
      <c r="F47" s="290"/>
      <c r="G47" s="290"/>
      <c r="H47" s="290"/>
      <c r="I47" s="29"/>
      <c r="J47" s="290" t="s">
        <v>78</v>
      </c>
      <c r="K47" s="290"/>
      <c r="L47" s="290"/>
      <c r="M47" s="290"/>
      <c r="N47" s="290"/>
      <c r="O47" s="290"/>
      <c r="P47" s="290"/>
      <c r="Q47" s="290"/>
    </row>
    <row r="48" spans="2:17" ht="25.5" customHeight="1">
      <c r="B48" s="290" t="s">
        <v>79</v>
      </c>
      <c r="C48" s="290"/>
      <c r="D48" s="290"/>
      <c r="E48" s="290"/>
      <c r="F48" s="290"/>
      <c r="G48" s="290"/>
      <c r="H48" s="290"/>
      <c r="I48" s="29"/>
      <c r="J48" s="290" t="s">
        <v>79</v>
      </c>
      <c r="K48" s="290"/>
      <c r="L48" s="290"/>
      <c r="M48" s="290"/>
      <c r="N48" s="290"/>
      <c r="O48" s="290"/>
      <c r="P48" s="290"/>
      <c r="Q48" s="290"/>
    </row>
    <row r="49" spans="1:17" ht="25.5" customHeight="1">
      <c r="A49" s="2">
        <v>4</v>
      </c>
      <c r="B49" s="290" t="s">
        <v>80</v>
      </c>
      <c r="C49" s="290"/>
      <c r="D49" s="290"/>
      <c r="E49" s="290"/>
      <c r="F49" s="290"/>
      <c r="G49" s="290"/>
      <c r="H49" s="290"/>
      <c r="I49" s="2">
        <v>4</v>
      </c>
      <c r="J49" s="290" t="s">
        <v>80</v>
      </c>
      <c r="K49" s="290"/>
      <c r="L49" s="290"/>
      <c r="M49" s="290"/>
      <c r="N49" s="290"/>
      <c r="O49" s="290"/>
      <c r="P49" s="290"/>
      <c r="Q49" s="290"/>
    </row>
    <row r="50" spans="2:17" ht="25.5" customHeight="1">
      <c r="B50" s="290" t="s">
        <v>81</v>
      </c>
      <c r="C50" s="290"/>
      <c r="D50" s="290"/>
      <c r="E50" s="290"/>
      <c r="F50" s="290"/>
      <c r="G50" s="290"/>
      <c r="H50" s="290"/>
      <c r="J50" s="290" t="s">
        <v>81</v>
      </c>
      <c r="K50" s="290"/>
      <c r="L50" s="290"/>
      <c r="M50" s="290"/>
      <c r="N50" s="290"/>
      <c r="O50" s="290"/>
      <c r="P50" s="290"/>
      <c r="Q50" s="290"/>
    </row>
  </sheetData>
  <sheetProtection/>
  <mergeCells count="54">
    <mergeCell ref="J33:Q33"/>
    <mergeCell ref="B33:H33"/>
    <mergeCell ref="B34:H34"/>
    <mergeCell ref="B36:H36"/>
    <mergeCell ref="J38:Q38"/>
    <mergeCell ref="J40:Q40"/>
    <mergeCell ref="J37:Q37"/>
    <mergeCell ref="B38:H38"/>
    <mergeCell ref="B37:H37"/>
    <mergeCell ref="B35:H35"/>
    <mergeCell ref="B45:H45"/>
    <mergeCell ref="J39:Q39"/>
    <mergeCell ref="J41:Q41"/>
    <mergeCell ref="J44:Q44"/>
    <mergeCell ref="B44:H44"/>
    <mergeCell ref="B43:H43"/>
    <mergeCell ref="B39:H39"/>
    <mergeCell ref="B40:H40"/>
    <mergeCell ref="B32:H32"/>
    <mergeCell ref="J32:Q32"/>
    <mergeCell ref="B42:H42"/>
    <mergeCell ref="J45:Q45"/>
    <mergeCell ref="J36:Q36"/>
    <mergeCell ref="J42:Q42"/>
    <mergeCell ref="J35:Q35"/>
    <mergeCell ref="J43:Q43"/>
    <mergeCell ref="J34:Q34"/>
    <mergeCell ref="B41:H41"/>
    <mergeCell ref="B46:H46"/>
    <mergeCell ref="B50:H50"/>
    <mergeCell ref="J46:Q46"/>
    <mergeCell ref="J47:Q47"/>
    <mergeCell ref="B47:H47"/>
    <mergeCell ref="B49:H49"/>
    <mergeCell ref="B48:H48"/>
    <mergeCell ref="J49:Q49"/>
    <mergeCell ref="J48:Q48"/>
    <mergeCell ref="J50:Q50"/>
    <mergeCell ref="C8:F8"/>
    <mergeCell ref="K8:L8"/>
    <mergeCell ref="C7:N7"/>
    <mergeCell ref="P7:P9"/>
    <mergeCell ref="G8:J8"/>
    <mergeCell ref="O7:O9"/>
    <mergeCell ref="A11:B11"/>
    <mergeCell ref="M8:N8"/>
    <mergeCell ref="P1:R1"/>
    <mergeCell ref="Q6:R6"/>
    <mergeCell ref="R7:R9"/>
    <mergeCell ref="A3:R3"/>
    <mergeCell ref="A4:R4"/>
    <mergeCell ref="A7:A9"/>
    <mergeCell ref="Q7:Q9"/>
    <mergeCell ref="B7:B9"/>
  </mergeCells>
  <printOptions/>
  <pageMargins left="0.43" right="0.2" top="0.44" bottom="0.28" header="0.44" footer="0.28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O69"/>
  <sheetViews>
    <sheetView zoomScale="70" zoomScaleNormal="70" zoomScalePageLayoutView="0" workbookViewId="0" topLeftCell="A40">
      <selection activeCell="Q70" sqref="Q70"/>
    </sheetView>
  </sheetViews>
  <sheetFormatPr defaultColWidth="9.140625" defaultRowHeight="12.75"/>
  <cols>
    <col min="1" max="1" width="9.57421875" style="32" customWidth="1"/>
    <col min="2" max="2" width="42.421875" style="32" customWidth="1"/>
    <col min="3" max="3" width="13.8515625" style="32" customWidth="1"/>
    <col min="4" max="4" width="11.57421875" style="32" customWidth="1"/>
    <col min="5" max="5" width="9.7109375" style="32" customWidth="1"/>
    <col min="6" max="6" width="10.8515625" style="33" customWidth="1"/>
    <col min="7" max="7" width="31.57421875" style="33" hidden="1" customWidth="1"/>
    <col min="8" max="8" width="3.140625" style="32" hidden="1" customWidth="1"/>
    <col min="9" max="9" width="9.140625" style="32" customWidth="1"/>
    <col min="10" max="10" width="11.8515625" style="32" hidden="1" customWidth="1"/>
    <col min="11" max="11" width="0" style="106" hidden="1" customWidth="1"/>
    <col min="12" max="12" width="0" style="32" hidden="1" customWidth="1"/>
    <col min="13" max="13" width="0" style="114" hidden="1" customWidth="1"/>
    <col min="14" max="14" width="9.140625" style="32" customWidth="1"/>
    <col min="15" max="15" width="13.421875" style="32" bestFit="1" customWidth="1"/>
    <col min="16" max="16384" width="9.140625" style="32" customWidth="1"/>
  </cols>
  <sheetData>
    <row r="1" spans="1:8" ht="21" customHeight="1">
      <c r="A1" s="192"/>
      <c r="B1" s="192"/>
      <c r="C1" s="192"/>
      <c r="D1" s="192"/>
      <c r="E1" s="192"/>
      <c r="F1" s="193" t="s">
        <v>137</v>
      </c>
      <c r="G1" s="193"/>
      <c r="H1" s="193" t="s">
        <v>112</v>
      </c>
    </row>
    <row r="2" spans="1:8" ht="23.25" customHeight="1">
      <c r="A2" s="264" t="s">
        <v>97</v>
      </c>
      <c r="B2" s="264"/>
      <c r="C2" s="264"/>
      <c r="D2" s="264"/>
      <c r="E2" s="264"/>
      <c r="F2" s="264"/>
      <c r="G2" s="194"/>
      <c r="H2" s="194"/>
    </row>
    <row r="3" spans="1:8" ht="23.25" customHeight="1">
      <c r="A3" s="264" t="s">
        <v>98</v>
      </c>
      <c r="B3" s="264"/>
      <c r="C3" s="264"/>
      <c r="D3" s="264"/>
      <c r="E3" s="264"/>
      <c r="F3" s="264"/>
      <c r="G3" s="194"/>
      <c r="H3" s="194"/>
    </row>
    <row r="4" spans="1:8" ht="23.25" customHeight="1">
      <c r="A4" s="265" t="str">
        <f>'1a - GNBV 2022'!A3:U3</f>
        <v>(Kèm theo Tờ trình số:                /TTr-UBND ngày             /8/2022 của UBND huyện Tuần Giáo)</v>
      </c>
      <c r="B4" s="265"/>
      <c r="C4" s="265"/>
      <c r="D4" s="265"/>
      <c r="E4" s="265"/>
      <c r="F4" s="265"/>
      <c r="G4" s="195"/>
      <c r="H4" s="195"/>
    </row>
    <row r="5" spans="1:8" ht="24" customHeight="1">
      <c r="A5" s="192"/>
      <c r="B5" s="192"/>
      <c r="C5" s="192"/>
      <c r="D5" s="192"/>
      <c r="E5" s="192"/>
      <c r="F5" s="196" t="s">
        <v>14</v>
      </c>
      <c r="G5" s="197"/>
      <c r="H5" s="196" t="s">
        <v>14</v>
      </c>
    </row>
    <row r="6" spans="1:13" s="41" customFormat="1" ht="27.75" customHeight="1">
      <c r="A6" s="266" t="s">
        <v>26</v>
      </c>
      <c r="B6" s="266" t="s">
        <v>15</v>
      </c>
      <c r="C6" s="266" t="s">
        <v>2</v>
      </c>
      <c r="D6" s="267" t="s">
        <v>95</v>
      </c>
      <c r="E6" s="267"/>
      <c r="F6" s="266" t="s">
        <v>3</v>
      </c>
      <c r="G6" s="273" t="s">
        <v>123</v>
      </c>
      <c r="H6" s="275" t="s">
        <v>124</v>
      </c>
      <c r="K6" s="268"/>
      <c r="M6" s="270"/>
    </row>
    <row r="7" spans="1:13" s="41" customFormat="1" ht="105" customHeight="1">
      <c r="A7" s="266"/>
      <c r="B7" s="266"/>
      <c r="C7" s="266"/>
      <c r="D7" s="198" t="s">
        <v>110</v>
      </c>
      <c r="E7" s="198" t="s">
        <v>176</v>
      </c>
      <c r="F7" s="266"/>
      <c r="G7" s="274"/>
      <c r="H7" s="276"/>
      <c r="K7" s="268"/>
      <c r="M7" s="271"/>
    </row>
    <row r="8" spans="1:13" s="42" customFormat="1" ht="32.25" customHeight="1">
      <c r="A8" s="199" t="s">
        <v>0</v>
      </c>
      <c r="B8" s="199" t="s">
        <v>1</v>
      </c>
      <c r="C8" s="199">
        <v>1</v>
      </c>
      <c r="D8" s="199">
        <v>2</v>
      </c>
      <c r="E8" s="199">
        <v>3</v>
      </c>
      <c r="F8" s="199">
        <v>4</v>
      </c>
      <c r="G8" s="200">
        <v>5</v>
      </c>
      <c r="H8" s="199">
        <v>6</v>
      </c>
      <c r="K8" s="107"/>
      <c r="M8" s="115"/>
    </row>
    <row r="9" spans="1:13" s="34" customFormat="1" ht="44.25" customHeight="1">
      <c r="A9" s="263" t="s">
        <v>60</v>
      </c>
      <c r="B9" s="263"/>
      <c r="C9" s="201">
        <f>D9+E9</f>
        <v>12931.48</v>
      </c>
      <c r="D9" s="202">
        <f>SUM(D10,D14,D34,D55,D63,D66)</f>
        <v>12684</v>
      </c>
      <c r="E9" s="202">
        <f>SUM(E10,E14,E34,E55,E63,E66)</f>
        <v>247.48000000000002</v>
      </c>
      <c r="F9" s="198" t="s">
        <v>136</v>
      </c>
      <c r="G9" s="203"/>
      <c r="H9" s="204"/>
      <c r="J9" s="100">
        <f>E9/D9</f>
        <v>0.019511195206559445</v>
      </c>
      <c r="K9" s="108"/>
      <c r="M9" s="116"/>
    </row>
    <row r="10" spans="1:13" s="102" customFormat="1" ht="63" customHeight="1">
      <c r="A10" s="205">
        <v>1</v>
      </c>
      <c r="B10" s="206" t="s">
        <v>125</v>
      </c>
      <c r="C10" s="207">
        <f>SUM(C11)</f>
        <v>2031.16</v>
      </c>
      <c r="D10" s="207">
        <f>SUM(D11)</f>
        <v>1972</v>
      </c>
      <c r="E10" s="207">
        <f>SUM(E11)</f>
        <v>59.16</v>
      </c>
      <c r="F10" s="208"/>
      <c r="G10" s="209"/>
      <c r="H10" s="210"/>
      <c r="K10" s="109"/>
      <c r="M10" s="117"/>
    </row>
    <row r="11" spans="1:13" s="103" customFormat="1" ht="63" customHeight="1">
      <c r="A11" s="211" t="s">
        <v>82</v>
      </c>
      <c r="B11" s="212" t="s">
        <v>126</v>
      </c>
      <c r="C11" s="213">
        <f>D11+E11</f>
        <v>2031.16</v>
      </c>
      <c r="D11" s="213">
        <f>SUM(D12:D13)</f>
        <v>1972</v>
      </c>
      <c r="E11" s="213">
        <f>SUM(E12:E13)</f>
        <v>59.16</v>
      </c>
      <c r="F11" s="214"/>
      <c r="G11" s="215"/>
      <c r="H11" s="216"/>
      <c r="K11" s="110">
        <v>1972</v>
      </c>
      <c r="L11" s="104">
        <f>K11-D12</f>
        <v>972</v>
      </c>
      <c r="M11" s="118">
        <f>K11*3%</f>
        <v>59.16</v>
      </c>
    </row>
    <row r="12" spans="1:13" s="105" customFormat="1" ht="35.25" customHeight="1">
      <c r="A12" s="217" t="s">
        <v>100</v>
      </c>
      <c r="B12" s="218" t="s">
        <v>122</v>
      </c>
      <c r="C12" s="230">
        <f>D12+E12</f>
        <v>1030</v>
      </c>
      <c r="D12" s="230">
        <v>1000</v>
      </c>
      <c r="E12" s="231">
        <f>3%*D12</f>
        <v>30</v>
      </c>
      <c r="F12" s="226" t="s">
        <v>147</v>
      </c>
      <c r="G12" s="220"/>
      <c r="H12" s="221"/>
      <c r="J12" s="105">
        <f>D12/D11</f>
        <v>0.5070993914807302</v>
      </c>
      <c r="K12" s="111"/>
      <c r="M12" s="119"/>
    </row>
    <row r="13" spans="1:13" s="105" customFormat="1" ht="35.25" customHeight="1">
      <c r="A13" s="217" t="s">
        <v>100</v>
      </c>
      <c r="B13" s="218" t="s">
        <v>145</v>
      </c>
      <c r="C13" s="230">
        <f>D13+E13</f>
        <v>1001.16</v>
      </c>
      <c r="D13" s="230">
        <v>972</v>
      </c>
      <c r="E13" s="231">
        <f>3%*D13</f>
        <v>29.16</v>
      </c>
      <c r="F13" s="226" t="s">
        <v>147</v>
      </c>
      <c r="G13" s="220"/>
      <c r="H13" s="221"/>
      <c r="K13" s="111"/>
      <c r="M13" s="119"/>
    </row>
    <row r="14" spans="1:13" s="35" customFormat="1" ht="85.5" customHeight="1">
      <c r="A14" s="222">
        <v>2</v>
      </c>
      <c r="B14" s="223" t="s">
        <v>83</v>
      </c>
      <c r="C14" s="224">
        <f>D14+E14</f>
        <v>4416</v>
      </c>
      <c r="D14" s="225">
        <f>4416</f>
        <v>4416</v>
      </c>
      <c r="E14" s="225">
        <f>SUM(E15:E33)</f>
        <v>0</v>
      </c>
      <c r="F14" s="226" t="s">
        <v>114</v>
      </c>
      <c r="G14" s="227"/>
      <c r="H14" s="228"/>
      <c r="K14" s="108">
        <v>4416</v>
      </c>
      <c r="L14" s="30"/>
      <c r="M14" s="118">
        <f>K14*3%</f>
        <v>132.48</v>
      </c>
    </row>
    <row r="15" spans="1:12" ht="23.25" customHeight="1">
      <c r="A15" s="219" t="s">
        <v>100</v>
      </c>
      <c r="B15" s="229" t="s">
        <v>161</v>
      </c>
      <c r="C15" s="230">
        <f>D15+E15</f>
        <v>0.000247</v>
      </c>
      <c r="D15" s="231">
        <f>'1d - Tiêu chí phân bổ GNBV'!P12/1000000</f>
        <v>0.000247</v>
      </c>
      <c r="E15" s="231">
        <f>ROUND(D15*3%,0)</f>
        <v>0</v>
      </c>
      <c r="F15" s="307" t="s">
        <v>178</v>
      </c>
      <c r="G15" s="227"/>
      <c r="H15" s="228"/>
      <c r="J15" s="101">
        <f>3%*D15</f>
        <v>7.409999999999999E-06</v>
      </c>
      <c r="K15" s="112"/>
      <c r="L15" s="31"/>
    </row>
    <row r="16" spans="1:15" s="114" customFormat="1" ht="23.25" customHeight="1">
      <c r="A16" s="219" t="s">
        <v>100</v>
      </c>
      <c r="B16" s="229" t="s">
        <v>160</v>
      </c>
      <c r="C16" s="230">
        <f aca="true" t="shared" si="0" ref="C16:C33">D16+E16</f>
        <v>0.000244</v>
      </c>
      <c r="D16" s="231">
        <f>'1d - Tiêu chí phân bổ GNBV'!P13/1000000</f>
        <v>0.000244</v>
      </c>
      <c r="E16" s="231">
        <f aca="true" t="shared" si="1" ref="E16:E33">ROUND(D16*3%,0)</f>
        <v>0</v>
      </c>
      <c r="F16" s="308"/>
      <c r="G16" s="227"/>
      <c r="H16" s="228"/>
      <c r="I16" s="32"/>
      <c r="J16" s="101"/>
      <c r="K16" s="112"/>
      <c r="L16" s="31"/>
      <c r="N16" s="32"/>
      <c r="O16" s="32"/>
    </row>
    <row r="17" spans="1:15" s="114" customFormat="1" ht="23.25" customHeight="1">
      <c r="A17" s="219" t="s">
        <v>100</v>
      </c>
      <c r="B17" s="229" t="s">
        <v>163</v>
      </c>
      <c r="C17" s="230">
        <f t="shared" si="0"/>
        <v>0.00024</v>
      </c>
      <c r="D17" s="231">
        <f>'1d - Tiêu chí phân bổ GNBV'!P14/1000000</f>
        <v>0.00024</v>
      </c>
      <c r="E17" s="231">
        <f t="shared" si="1"/>
        <v>0</v>
      </c>
      <c r="F17" s="308"/>
      <c r="G17" s="227"/>
      <c r="H17" s="228"/>
      <c r="I17" s="32"/>
      <c r="J17" s="101"/>
      <c r="K17" s="112"/>
      <c r="L17" s="31"/>
      <c r="N17" s="32"/>
      <c r="O17" s="32"/>
    </row>
    <row r="18" spans="1:15" s="114" customFormat="1" ht="23.25" customHeight="1">
      <c r="A18" s="219" t="s">
        <v>100</v>
      </c>
      <c r="B18" s="229" t="s">
        <v>164</v>
      </c>
      <c r="C18" s="230">
        <f t="shared" si="0"/>
        <v>0.000226</v>
      </c>
      <c r="D18" s="231">
        <f>'1d - Tiêu chí phân bổ GNBV'!P15/1000000</f>
        <v>0.000226</v>
      </c>
      <c r="E18" s="231">
        <f t="shared" si="1"/>
        <v>0</v>
      </c>
      <c r="F18" s="308"/>
      <c r="G18" s="227"/>
      <c r="H18" s="228"/>
      <c r="I18" s="32"/>
      <c r="J18" s="101"/>
      <c r="K18" s="112"/>
      <c r="L18" s="31"/>
      <c r="N18" s="32"/>
      <c r="O18" s="32"/>
    </row>
    <row r="19" spans="1:15" s="114" customFormat="1" ht="23.25" customHeight="1">
      <c r="A19" s="219" t="s">
        <v>100</v>
      </c>
      <c r="B19" s="229" t="s">
        <v>167</v>
      </c>
      <c r="C19" s="230">
        <f t="shared" si="0"/>
        <v>0.000236</v>
      </c>
      <c r="D19" s="231">
        <f>'1d - Tiêu chí phân bổ GNBV'!P16/1000000</f>
        <v>0.000236</v>
      </c>
      <c r="E19" s="231">
        <f t="shared" si="1"/>
        <v>0</v>
      </c>
      <c r="F19" s="308"/>
      <c r="G19" s="227"/>
      <c r="H19" s="228"/>
      <c r="I19" s="32"/>
      <c r="J19" s="101"/>
      <c r="K19" s="112"/>
      <c r="L19" s="31"/>
      <c r="N19" s="32"/>
      <c r="O19" s="32"/>
    </row>
    <row r="20" spans="1:15" s="114" customFormat="1" ht="23.25" customHeight="1">
      <c r="A20" s="219" t="s">
        <v>100</v>
      </c>
      <c r="B20" s="229" t="s">
        <v>166</v>
      </c>
      <c r="C20" s="230">
        <f t="shared" si="0"/>
        <v>0.00021</v>
      </c>
      <c r="D20" s="231">
        <f>'1d - Tiêu chí phân bổ GNBV'!P17/1000000</f>
        <v>0.00021</v>
      </c>
      <c r="E20" s="231">
        <f t="shared" si="1"/>
        <v>0</v>
      </c>
      <c r="F20" s="308"/>
      <c r="G20" s="227"/>
      <c r="H20" s="228"/>
      <c r="I20" s="32"/>
      <c r="J20" s="101"/>
      <c r="K20" s="112"/>
      <c r="L20" s="31"/>
      <c r="N20" s="32"/>
      <c r="O20" s="32"/>
    </row>
    <row r="21" spans="1:15" s="114" customFormat="1" ht="23.25" customHeight="1">
      <c r="A21" s="219" t="s">
        <v>100</v>
      </c>
      <c r="B21" s="229" t="s">
        <v>165</v>
      </c>
      <c r="C21" s="230">
        <f t="shared" si="0"/>
        <v>0.000225</v>
      </c>
      <c r="D21" s="231">
        <f>'1d - Tiêu chí phân bổ GNBV'!P18/1000000</f>
        <v>0.000225</v>
      </c>
      <c r="E21" s="231">
        <f t="shared" si="1"/>
        <v>0</v>
      </c>
      <c r="F21" s="308"/>
      <c r="G21" s="227"/>
      <c r="H21" s="228"/>
      <c r="I21" s="32"/>
      <c r="J21" s="101"/>
      <c r="K21" s="112"/>
      <c r="L21" s="31"/>
      <c r="N21" s="32"/>
      <c r="O21" s="32"/>
    </row>
    <row r="22" spans="1:15" s="114" customFormat="1" ht="23.25" customHeight="1">
      <c r="A22" s="219" t="s">
        <v>100</v>
      </c>
      <c r="B22" s="229" t="s">
        <v>162</v>
      </c>
      <c r="C22" s="230">
        <f t="shared" si="0"/>
        <v>0.000225</v>
      </c>
      <c r="D22" s="231">
        <f>'1d - Tiêu chí phân bổ GNBV'!P19/1000000</f>
        <v>0.000225</v>
      </c>
      <c r="E22" s="231">
        <f t="shared" si="1"/>
        <v>0</v>
      </c>
      <c r="F22" s="308"/>
      <c r="G22" s="227"/>
      <c r="H22" s="228"/>
      <c r="I22" s="32"/>
      <c r="J22" s="101"/>
      <c r="K22" s="112"/>
      <c r="L22" s="31"/>
      <c r="N22" s="32"/>
      <c r="O22" s="32"/>
    </row>
    <row r="23" spans="1:15" s="114" customFormat="1" ht="23.25" customHeight="1">
      <c r="A23" s="219" t="s">
        <v>100</v>
      </c>
      <c r="B23" s="229" t="s">
        <v>150</v>
      </c>
      <c r="C23" s="230">
        <f t="shared" si="0"/>
        <v>0.00027</v>
      </c>
      <c r="D23" s="231">
        <f>'1d - Tiêu chí phân bổ GNBV'!P20/1000000</f>
        <v>0.00027</v>
      </c>
      <c r="E23" s="231">
        <f t="shared" si="1"/>
        <v>0</v>
      </c>
      <c r="F23" s="308"/>
      <c r="G23" s="227"/>
      <c r="H23" s="228"/>
      <c r="I23" s="32"/>
      <c r="J23" s="101"/>
      <c r="K23" s="112"/>
      <c r="L23" s="31"/>
      <c r="N23" s="32"/>
      <c r="O23" s="32"/>
    </row>
    <row r="24" spans="1:15" s="114" customFormat="1" ht="23.25" customHeight="1">
      <c r="A24" s="219" t="s">
        <v>100</v>
      </c>
      <c r="B24" s="229" t="s">
        <v>153</v>
      </c>
      <c r="C24" s="230">
        <f t="shared" si="0"/>
        <v>0.000218</v>
      </c>
      <c r="D24" s="231">
        <f>'1d - Tiêu chí phân bổ GNBV'!P21/1000000</f>
        <v>0.000218</v>
      </c>
      <c r="E24" s="231">
        <f t="shared" si="1"/>
        <v>0</v>
      </c>
      <c r="F24" s="308"/>
      <c r="G24" s="227"/>
      <c r="H24" s="228"/>
      <c r="I24" s="32"/>
      <c r="J24" s="101"/>
      <c r="K24" s="112"/>
      <c r="L24" s="31"/>
      <c r="N24" s="32"/>
      <c r="O24" s="32"/>
    </row>
    <row r="25" spans="1:15" s="114" customFormat="1" ht="23.25" customHeight="1">
      <c r="A25" s="219" t="s">
        <v>100</v>
      </c>
      <c r="B25" s="229" t="s">
        <v>157</v>
      </c>
      <c r="C25" s="230">
        <f t="shared" si="0"/>
        <v>0.000237</v>
      </c>
      <c r="D25" s="231">
        <f>'1d - Tiêu chí phân bổ GNBV'!P22/1000000</f>
        <v>0.000237</v>
      </c>
      <c r="E25" s="231">
        <f t="shared" si="1"/>
        <v>0</v>
      </c>
      <c r="F25" s="308"/>
      <c r="G25" s="227"/>
      <c r="H25" s="228"/>
      <c r="I25" s="32"/>
      <c r="J25" s="101"/>
      <c r="K25" s="112"/>
      <c r="L25" s="31"/>
      <c r="N25" s="32"/>
      <c r="O25" s="32"/>
    </row>
    <row r="26" spans="1:15" s="114" customFormat="1" ht="23.25" customHeight="1">
      <c r="A26" s="219" t="s">
        <v>100</v>
      </c>
      <c r="B26" s="229" t="s">
        <v>156</v>
      </c>
      <c r="C26" s="230">
        <f t="shared" si="0"/>
        <v>0.000266</v>
      </c>
      <c r="D26" s="231">
        <f>'1d - Tiêu chí phân bổ GNBV'!P23/1000000</f>
        <v>0.000266</v>
      </c>
      <c r="E26" s="231">
        <f t="shared" si="1"/>
        <v>0</v>
      </c>
      <c r="F26" s="308"/>
      <c r="G26" s="227"/>
      <c r="H26" s="228"/>
      <c r="I26" s="32"/>
      <c r="J26" s="101">
        <f aca="true" t="shared" si="2" ref="J26:J33">3%*D26</f>
        <v>7.98E-06</v>
      </c>
      <c r="K26" s="112"/>
      <c r="L26" s="31"/>
      <c r="N26" s="32"/>
      <c r="O26" s="32"/>
    </row>
    <row r="27" spans="1:15" s="114" customFormat="1" ht="23.25" customHeight="1">
      <c r="A27" s="219" t="s">
        <v>100</v>
      </c>
      <c r="B27" s="229" t="s">
        <v>154</v>
      </c>
      <c r="C27" s="230">
        <f t="shared" si="0"/>
        <v>0.000262</v>
      </c>
      <c r="D27" s="231">
        <f>'1d - Tiêu chí phân bổ GNBV'!P24/1000000</f>
        <v>0.000262</v>
      </c>
      <c r="E27" s="231">
        <f t="shared" si="1"/>
        <v>0</v>
      </c>
      <c r="F27" s="308"/>
      <c r="G27" s="227"/>
      <c r="H27" s="228"/>
      <c r="I27" s="32"/>
      <c r="J27" s="101">
        <f t="shared" si="2"/>
        <v>7.860000000000001E-06</v>
      </c>
      <c r="K27" s="112"/>
      <c r="L27" s="31"/>
      <c r="N27" s="32"/>
      <c r="O27" s="32"/>
    </row>
    <row r="28" spans="1:15" s="114" customFormat="1" ht="23.25" customHeight="1">
      <c r="A28" s="219" t="s">
        <v>100</v>
      </c>
      <c r="B28" s="229" t="s">
        <v>155</v>
      </c>
      <c r="C28" s="230">
        <f t="shared" si="0"/>
        <v>0.000262</v>
      </c>
      <c r="D28" s="231">
        <f>'1d - Tiêu chí phân bổ GNBV'!P25/1000000</f>
        <v>0.000262</v>
      </c>
      <c r="E28" s="231">
        <f t="shared" si="1"/>
        <v>0</v>
      </c>
      <c r="F28" s="308"/>
      <c r="G28" s="227"/>
      <c r="H28" s="228"/>
      <c r="I28" s="32"/>
      <c r="J28" s="101">
        <f t="shared" si="2"/>
        <v>7.860000000000001E-06</v>
      </c>
      <c r="K28" s="112"/>
      <c r="L28" s="31"/>
      <c r="N28" s="32"/>
      <c r="O28" s="32"/>
    </row>
    <row r="29" spans="1:15" s="114" customFormat="1" ht="23.25" customHeight="1">
      <c r="A29" s="219" t="s">
        <v>100</v>
      </c>
      <c r="B29" s="229" t="s">
        <v>151</v>
      </c>
      <c r="C29" s="230">
        <f t="shared" si="0"/>
        <v>0.000225</v>
      </c>
      <c r="D29" s="231">
        <f>'1d - Tiêu chí phân bổ GNBV'!P26/1000000</f>
        <v>0.000225</v>
      </c>
      <c r="E29" s="231">
        <f t="shared" si="1"/>
        <v>0</v>
      </c>
      <c r="F29" s="308"/>
      <c r="G29" s="227"/>
      <c r="H29" s="228"/>
      <c r="I29" s="32"/>
      <c r="J29" s="101">
        <f t="shared" si="2"/>
        <v>6.75E-06</v>
      </c>
      <c r="K29" s="112"/>
      <c r="L29" s="31"/>
      <c r="N29" s="32"/>
      <c r="O29" s="32"/>
    </row>
    <row r="30" spans="1:15" s="114" customFormat="1" ht="23.25" customHeight="1">
      <c r="A30" s="219" t="s">
        <v>100</v>
      </c>
      <c r="B30" s="229" t="s">
        <v>152</v>
      </c>
      <c r="C30" s="230">
        <f t="shared" si="0"/>
        <v>0.000225</v>
      </c>
      <c r="D30" s="231">
        <f>'1d - Tiêu chí phân bổ GNBV'!P27/1000000</f>
        <v>0.000225</v>
      </c>
      <c r="E30" s="231">
        <f t="shared" si="1"/>
        <v>0</v>
      </c>
      <c r="F30" s="308"/>
      <c r="G30" s="227"/>
      <c r="H30" s="228"/>
      <c r="I30" s="32"/>
      <c r="J30" s="101">
        <f t="shared" si="2"/>
        <v>6.75E-06</v>
      </c>
      <c r="K30" s="112"/>
      <c r="L30" s="31"/>
      <c r="N30" s="32"/>
      <c r="O30" s="32"/>
    </row>
    <row r="31" spans="1:15" s="114" customFormat="1" ht="23.25" customHeight="1">
      <c r="A31" s="219" t="s">
        <v>100</v>
      </c>
      <c r="B31" s="229" t="s">
        <v>159</v>
      </c>
      <c r="C31" s="230">
        <f t="shared" si="0"/>
        <v>0.000218</v>
      </c>
      <c r="D31" s="231">
        <f>'1d - Tiêu chí phân bổ GNBV'!P28/1000000</f>
        <v>0.000218</v>
      </c>
      <c r="E31" s="231">
        <f t="shared" si="1"/>
        <v>0</v>
      </c>
      <c r="F31" s="308"/>
      <c r="G31" s="227"/>
      <c r="H31" s="228"/>
      <c r="I31" s="32"/>
      <c r="J31" s="101">
        <f t="shared" si="2"/>
        <v>6.54E-06</v>
      </c>
      <c r="K31" s="112"/>
      <c r="L31" s="31"/>
      <c r="N31" s="32"/>
      <c r="O31" s="32"/>
    </row>
    <row r="32" spans="1:11" ht="23.25" customHeight="1">
      <c r="A32" s="219" t="s">
        <v>100</v>
      </c>
      <c r="B32" s="229" t="s">
        <v>158</v>
      </c>
      <c r="C32" s="230">
        <f t="shared" si="0"/>
        <v>0.000218</v>
      </c>
      <c r="D32" s="231">
        <f>'1d - Tiêu chí phân bổ GNBV'!P29/1000000</f>
        <v>0.000218</v>
      </c>
      <c r="E32" s="231">
        <f t="shared" si="1"/>
        <v>0</v>
      </c>
      <c r="F32" s="308"/>
      <c r="G32" s="227"/>
      <c r="H32" s="228"/>
      <c r="J32" s="101">
        <f t="shared" si="2"/>
        <v>6.54E-06</v>
      </c>
      <c r="K32" s="112"/>
    </row>
    <row r="33" spans="1:11" ht="23.25" customHeight="1">
      <c r="A33" s="219" t="s">
        <v>100</v>
      </c>
      <c r="B33" s="229" t="s">
        <v>171</v>
      </c>
      <c r="C33" s="230">
        <f t="shared" si="0"/>
        <v>0.000162</v>
      </c>
      <c r="D33" s="231">
        <f>'1d - Tiêu chí phân bổ GNBV'!P30/1000000</f>
        <v>0.000162</v>
      </c>
      <c r="E33" s="231">
        <f t="shared" si="1"/>
        <v>0</v>
      </c>
      <c r="F33" s="309"/>
      <c r="G33" s="227"/>
      <c r="H33" s="228"/>
      <c r="J33" s="101">
        <f t="shared" si="2"/>
        <v>4.86E-06</v>
      </c>
      <c r="K33" s="112"/>
    </row>
    <row r="34" spans="1:13" s="35" customFormat="1" ht="46.5" customHeight="1">
      <c r="A34" s="222">
        <v>3</v>
      </c>
      <c r="B34" s="223" t="s">
        <v>6</v>
      </c>
      <c r="C34" s="224">
        <f>SUM(C35)</f>
        <v>1928.16</v>
      </c>
      <c r="D34" s="224">
        <f>SUM(D35)</f>
        <v>1872</v>
      </c>
      <c r="E34" s="224">
        <f>SUM(E35)</f>
        <v>56.16</v>
      </c>
      <c r="F34" s="226"/>
      <c r="G34" s="227"/>
      <c r="H34" s="232"/>
      <c r="K34" s="108"/>
      <c r="M34" s="120"/>
    </row>
    <row r="35" spans="1:13" s="36" customFormat="1" ht="59.25" customHeight="1">
      <c r="A35" s="211" t="s">
        <v>101</v>
      </c>
      <c r="B35" s="212" t="s">
        <v>17</v>
      </c>
      <c r="C35" s="213">
        <f>D35+E35</f>
        <v>1928.16</v>
      </c>
      <c r="D35" s="233">
        <v>1872</v>
      </c>
      <c r="E35" s="233">
        <f>M35</f>
        <v>56.16</v>
      </c>
      <c r="F35" s="226" t="s">
        <v>106</v>
      </c>
      <c r="G35" s="227"/>
      <c r="H35" s="216"/>
      <c r="K35" s="113">
        <v>1872</v>
      </c>
      <c r="M35" s="118">
        <f>K35*3%</f>
        <v>56.16</v>
      </c>
    </row>
    <row r="36" spans="1:11" ht="24.75" customHeight="1">
      <c r="A36" s="219" t="s">
        <v>100</v>
      </c>
      <c r="B36" s="229" t="s">
        <v>161</v>
      </c>
      <c r="C36" s="230">
        <f aca="true" t="shared" si="3" ref="C36:C54">D36+E36</f>
        <v>0.000105</v>
      </c>
      <c r="D36" s="231">
        <f>'1d - Tiêu chí phân bổ GNBV'!Q12/1000000</f>
        <v>0.000105</v>
      </c>
      <c r="E36" s="231">
        <f>ROUND(D36*3%,0)</f>
        <v>0</v>
      </c>
      <c r="F36" s="307" t="s">
        <v>178</v>
      </c>
      <c r="G36" s="227"/>
      <c r="H36" s="228"/>
      <c r="K36" s="112"/>
    </row>
    <row r="37" spans="1:11" ht="24.75" customHeight="1">
      <c r="A37" s="219" t="s">
        <v>100</v>
      </c>
      <c r="B37" s="229" t="s">
        <v>160</v>
      </c>
      <c r="C37" s="230">
        <f t="shared" si="3"/>
        <v>0.000103</v>
      </c>
      <c r="D37" s="231">
        <f>'1d - Tiêu chí phân bổ GNBV'!Q13/1000000</f>
        <v>0.000103</v>
      </c>
      <c r="E37" s="231">
        <f aca="true" t="shared" si="4" ref="E37:E54">ROUND(D37*3%,0)</f>
        <v>0</v>
      </c>
      <c r="F37" s="308"/>
      <c r="G37" s="227"/>
      <c r="H37" s="228"/>
      <c r="K37" s="112"/>
    </row>
    <row r="38" spans="1:11" ht="24.75" customHeight="1">
      <c r="A38" s="219" t="s">
        <v>100</v>
      </c>
      <c r="B38" s="229" t="s">
        <v>163</v>
      </c>
      <c r="C38" s="230">
        <f t="shared" si="3"/>
        <v>0.000102</v>
      </c>
      <c r="D38" s="231">
        <f>'1d - Tiêu chí phân bổ GNBV'!Q14/1000000</f>
        <v>0.000102</v>
      </c>
      <c r="E38" s="231">
        <f t="shared" si="4"/>
        <v>0</v>
      </c>
      <c r="F38" s="308"/>
      <c r="G38" s="227"/>
      <c r="H38" s="228"/>
      <c r="K38" s="112"/>
    </row>
    <row r="39" spans="1:11" ht="24.75" customHeight="1">
      <c r="A39" s="219" t="s">
        <v>100</v>
      </c>
      <c r="B39" s="229" t="s">
        <v>164</v>
      </c>
      <c r="C39" s="230">
        <f t="shared" si="3"/>
        <v>9.6E-05</v>
      </c>
      <c r="D39" s="231">
        <f>'1d - Tiêu chí phân bổ GNBV'!Q15/1000000</f>
        <v>9.6E-05</v>
      </c>
      <c r="E39" s="231">
        <f t="shared" si="4"/>
        <v>0</v>
      </c>
      <c r="F39" s="308"/>
      <c r="G39" s="227"/>
      <c r="H39" s="228"/>
      <c r="K39" s="112"/>
    </row>
    <row r="40" spans="1:11" ht="24.75" customHeight="1">
      <c r="A40" s="219" t="s">
        <v>100</v>
      </c>
      <c r="B40" s="229" t="s">
        <v>167</v>
      </c>
      <c r="C40" s="230">
        <f t="shared" si="3"/>
        <v>0.0001</v>
      </c>
      <c r="D40" s="231">
        <f>'1d - Tiêu chí phân bổ GNBV'!Q16/1000000</f>
        <v>0.0001</v>
      </c>
      <c r="E40" s="231">
        <f t="shared" si="4"/>
        <v>0</v>
      </c>
      <c r="F40" s="308"/>
      <c r="G40" s="227"/>
      <c r="H40" s="228"/>
      <c r="K40" s="112"/>
    </row>
    <row r="41" spans="1:11" ht="24.75" customHeight="1">
      <c r="A41" s="219" t="s">
        <v>100</v>
      </c>
      <c r="B41" s="229" t="s">
        <v>166</v>
      </c>
      <c r="C41" s="230">
        <f t="shared" si="3"/>
        <v>8.9E-05</v>
      </c>
      <c r="D41" s="231">
        <f>'1d - Tiêu chí phân bổ GNBV'!Q17/1000000</f>
        <v>8.9E-05</v>
      </c>
      <c r="E41" s="231">
        <f t="shared" si="4"/>
        <v>0</v>
      </c>
      <c r="F41" s="308"/>
      <c r="G41" s="227"/>
      <c r="H41" s="228"/>
      <c r="K41" s="112"/>
    </row>
    <row r="42" spans="1:11" ht="24.75" customHeight="1">
      <c r="A42" s="219" t="s">
        <v>100</v>
      </c>
      <c r="B42" s="229" t="s">
        <v>165</v>
      </c>
      <c r="C42" s="230">
        <f t="shared" si="3"/>
        <v>9.5E-05</v>
      </c>
      <c r="D42" s="231">
        <f>'1d - Tiêu chí phân bổ GNBV'!Q18/1000000</f>
        <v>9.5E-05</v>
      </c>
      <c r="E42" s="231">
        <f t="shared" si="4"/>
        <v>0</v>
      </c>
      <c r="F42" s="308"/>
      <c r="G42" s="227"/>
      <c r="H42" s="228"/>
      <c r="K42" s="112"/>
    </row>
    <row r="43" spans="1:11" ht="24.75" customHeight="1">
      <c r="A43" s="219" t="s">
        <v>100</v>
      </c>
      <c r="B43" s="229" t="s">
        <v>162</v>
      </c>
      <c r="C43" s="230">
        <f t="shared" si="3"/>
        <v>9.5E-05</v>
      </c>
      <c r="D43" s="231">
        <f>'1d - Tiêu chí phân bổ GNBV'!Q19/1000000</f>
        <v>9.5E-05</v>
      </c>
      <c r="E43" s="231">
        <f t="shared" si="4"/>
        <v>0</v>
      </c>
      <c r="F43" s="308"/>
      <c r="G43" s="227"/>
      <c r="H43" s="228"/>
      <c r="K43" s="112"/>
    </row>
    <row r="44" spans="1:11" ht="24.75" customHeight="1">
      <c r="A44" s="219" t="s">
        <v>100</v>
      </c>
      <c r="B44" s="229" t="s">
        <v>150</v>
      </c>
      <c r="C44" s="230">
        <f t="shared" si="3"/>
        <v>0.000115</v>
      </c>
      <c r="D44" s="231">
        <f>'1d - Tiêu chí phân bổ GNBV'!Q20/1000000</f>
        <v>0.000115</v>
      </c>
      <c r="E44" s="231">
        <f t="shared" si="4"/>
        <v>0</v>
      </c>
      <c r="F44" s="308"/>
      <c r="G44" s="227"/>
      <c r="H44" s="228"/>
      <c r="K44" s="112"/>
    </row>
    <row r="45" spans="1:11" ht="24.75" customHeight="1">
      <c r="A45" s="219" t="s">
        <v>100</v>
      </c>
      <c r="B45" s="229" t="s">
        <v>153</v>
      </c>
      <c r="C45" s="230">
        <f t="shared" si="3"/>
        <v>9.2E-05</v>
      </c>
      <c r="D45" s="231">
        <f>'1d - Tiêu chí phân bổ GNBV'!Q21/1000000</f>
        <v>9.2E-05</v>
      </c>
      <c r="E45" s="231">
        <f t="shared" si="4"/>
        <v>0</v>
      </c>
      <c r="F45" s="308"/>
      <c r="G45" s="227"/>
      <c r="H45" s="228"/>
      <c r="K45" s="112"/>
    </row>
    <row r="46" spans="1:11" ht="24.75" customHeight="1">
      <c r="A46" s="219" t="s">
        <v>100</v>
      </c>
      <c r="B46" s="229" t="s">
        <v>157</v>
      </c>
      <c r="C46" s="230">
        <f t="shared" si="3"/>
        <v>0.000101</v>
      </c>
      <c r="D46" s="231">
        <f>'1d - Tiêu chí phân bổ GNBV'!Q22/1000000</f>
        <v>0.000101</v>
      </c>
      <c r="E46" s="231">
        <f t="shared" si="4"/>
        <v>0</v>
      </c>
      <c r="F46" s="308"/>
      <c r="G46" s="227"/>
      <c r="H46" s="228"/>
      <c r="K46" s="112"/>
    </row>
    <row r="47" spans="1:11" ht="24.75" customHeight="1">
      <c r="A47" s="219" t="s">
        <v>100</v>
      </c>
      <c r="B47" s="229" t="s">
        <v>156</v>
      </c>
      <c r="C47" s="230">
        <f t="shared" si="3"/>
        <v>0.000113</v>
      </c>
      <c r="D47" s="231">
        <f>'1d - Tiêu chí phân bổ GNBV'!Q23/1000000</f>
        <v>0.000113</v>
      </c>
      <c r="E47" s="231">
        <f t="shared" si="4"/>
        <v>0</v>
      </c>
      <c r="F47" s="308"/>
      <c r="G47" s="227"/>
      <c r="H47" s="228"/>
      <c r="K47" s="112"/>
    </row>
    <row r="48" spans="1:11" ht="24.75" customHeight="1">
      <c r="A48" s="219" t="s">
        <v>100</v>
      </c>
      <c r="B48" s="229" t="s">
        <v>154</v>
      </c>
      <c r="C48" s="230">
        <f t="shared" si="3"/>
        <v>0.000111</v>
      </c>
      <c r="D48" s="231">
        <f>'1d - Tiêu chí phân bổ GNBV'!Q24/1000000</f>
        <v>0.000111</v>
      </c>
      <c r="E48" s="231">
        <f t="shared" si="4"/>
        <v>0</v>
      </c>
      <c r="F48" s="308"/>
      <c r="G48" s="227"/>
      <c r="H48" s="228"/>
      <c r="K48" s="112"/>
    </row>
    <row r="49" spans="1:11" ht="24.75" customHeight="1">
      <c r="A49" s="219" t="s">
        <v>100</v>
      </c>
      <c r="B49" s="229" t="s">
        <v>155</v>
      </c>
      <c r="C49" s="230">
        <f t="shared" si="3"/>
        <v>0.000111</v>
      </c>
      <c r="D49" s="231">
        <f>'1d - Tiêu chí phân bổ GNBV'!Q25/1000000</f>
        <v>0.000111</v>
      </c>
      <c r="E49" s="231">
        <f t="shared" si="4"/>
        <v>0</v>
      </c>
      <c r="F49" s="308"/>
      <c r="G49" s="227"/>
      <c r="H49" s="228"/>
      <c r="K49" s="112"/>
    </row>
    <row r="50" spans="1:11" ht="24.75" customHeight="1">
      <c r="A50" s="219" t="s">
        <v>100</v>
      </c>
      <c r="B50" s="229" t="s">
        <v>151</v>
      </c>
      <c r="C50" s="230">
        <f t="shared" si="3"/>
        <v>9.5E-05</v>
      </c>
      <c r="D50" s="231">
        <f>'1d - Tiêu chí phân bổ GNBV'!Q26/1000000</f>
        <v>9.5E-05</v>
      </c>
      <c r="E50" s="231">
        <f t="shared" si="4"/>
        <v>0</v>
      </c>
      <c r="F50" s="308"/>
      <c r="G50" s="227"/>
      <c r="H50" s="228"/>
      <c r="K50" s="112"/>
    </row>
    <row r="51" spans="1:11" ht="24.75" customHeight="1">
      <c r="A51" s="219" t="s">
        <v>100</v>
      </c>
      <c r="B51" s="229" t="s">
        <v>152</v>
      </c>
      <c r="C51" s="230">
        <f t="shared" si="3"/>
        <v>9.5E-05</v>
      </c>
      <c r="D51" s="231">
        <f>'1d - Tiêu chí phân bổ GNBV'!Q27/1000000</f>
        <v>9.5E-05</v>
      </c>
      <c r="E51" s="231">
        <f t="shared" si="4"/>
        <v>0</v>
      </c>
      <c r="F51" s="308"/>
      <c r="G51" s="227"/>
      <c r="H51" s="228"/>
      <c r="K51" s="112"/>
    </row>
    <row r="52" spans="1:11" ht="24.75" customHeight="1">
      <c r="A52" s="219" t="s">
        <v>100</v>
      </c>
      <c r="B52" s="229" t="s">
        <v>159</v>
      </c>
      <c r="C52" s="230">
        <f t="shared" si="3"/>
        <v>9.3E-05</v>
      </c>
      <c r="D52" s="231">
        <f>'1d - Tiêu chí phân bổ GNBV'!Q28/1000000</f>
        <v>9.3E-05</v>
      </c>
      <c r="E52" s="231">
        <f t="shared" si="4"/>
        <v>0</v>
      </c>
      <c r="F52" s="308"/>
      <c r="G52" s="227"/>
      <c r="H52" s="228"/>
      <c r="K52" s="112"/>
    </row>
    <row r="53" spans="1:11" ht="24.75" customHeight="1">
      <c r="A53" s="219" t="s">
        <v>100</v>
      </c>
      <c r="B53" s="229" t="s">
        <v>158</v>
      </c>
      <c r="C53" s="230">
        <f t="shared" si="3"/>
        <v>9.2E-05</v>
      </c>
      <c r="D53" s="231">
        <f>'1d - Tiêu chí phân bổ GNBV'!Q29/1000000</f>
        <v>9.2E-05</v>
      </c>
      <c r="E53" s="231">
        <f t="shared" si="4"/>
        <v>0</v>
      </c>
      <c r="F53" s="308"/>
      <c r="G53" s="227"/>
      <c r="H53" s="228"/>
      <c r="K53" s="112"/>
    </row>
    <row r="54" spans="1:11" ht="24.75" customHeight="1">
      <c r="A54" s="219" t="s">
        <v>100</v>
      </c>
      <c r="B54" s="229" t="s">
        <v>171</v>
      </c>
      <c r="C54" s="230">
        <f t="shared" si="3"/>
        <v>6.9E-05</v>
      </c>
      <c r="D54" s="231">
        <f>'1d - Tiêu chí phân bổ GNBV'!Q30/1000000</f>
        <v>6.9E-05</v>
      </c>
      <c r="E54" s="231">
        <f t="shared" si="4"/>
        <v>0</v>
      </c>
      <c r="F54" s="309"/>
      <c r="G54" s="227"/>
      <c r="H54" s="228"/>
      <c r="K54" s="112"/>
    </row>
    <row r="55" spans="1:13" s="102" customFormat="1" ht="43.5" customHeight="1">
      <c r="A55" s="222">
        <v>4</v>
      </c>
      <c r="B55" s="223" t="s">
        <v>7</v>
      </c>
      <c r="C55" s="224">
        <f>SUM(D55:E55)</f>
        <v>3080.55</v>
      </c>
      <c r="D55" s="224">
        <f>SUM(D56,D61,D62)</f>
        <v>2991</v>
      </c>
      <c r="E55" s="224">
        <f>SUM(E56,E61,E62)</f>
        <v>89.55</v>
      </c>
      <c r="F55" s="226" t="s">
        <v>179</v>
      </c>
      <c r="G55" s="227"/>
      <c r="H55" s="232"/>
      <c r="K55" s="109">
        <v>2991</v>
      </c>
      <c r="M55" s="118">
        <f>3%*K55</f>
        <v>89.72999999999999</v>
      </c>
    </row>
    <row r="56" spans="1:13" s="103" customFormat="1" ht="61.5" customHeight="1">
      <c r="A56" s="211" t="s">
        <v>84</v>
      </c>
      <c r="B56" s="212" t="s">
        <v>85</v>
      </c>
      <c r="C56" s="213">
        <f>SUM(D56:E56)</f>
        <v>2353.55</v>
      </c>
      <c r="D56" s="233">
        <f>SUM(D57,D60)</f>
        <v>2285</v>
      </c>
      <c r="E56" s="233">
        <f>SUM(E57,E60)</f>
        <v>68.55</v>
      </c>
      <c r="F56" s="234"/>
      <c r="G56" s="235"/>
      <c r="H56" s="216"/>
      <c r="J56" s="103">
        <f>E56/D56</f>
        <v>0.03</v>
      </c>
      <c r="K56" s="110">
        <v>2285</v>
      </c>
      <c r="M56" s="118">
        <f>K56*3%</f>
        <v>68.55</v>
      </c>
    </row>
    <row r="57" spans="1:13" s="121" customFormat="1" ht="27" customHeight="1">
      <c r="A57" s="217" t="s">
        <v>100</v>
      </c>
      <c r="B57" s="221" t="s">
        <v>86</v>
      </c>
      <c r="C57" s="230">
        <f>SUM(C58:C59)</f>
        <v>1177.29</v>
      </c>
      <c r="D57" s="230">
        <f>D58+D59</f>
        <v>1143</v>
      </c>
      <c r="E57" s="230">
        <f>SUM(E58:E59)</f>
        <v>34.29</v>
      </c>
      <c r="F57" s="214"/>
      <c r="G57" s="215"/>
      <c r="H57" s="236"/>
      <c r="K57" s="122">
        <v>1034</v>
      </c>
      <c r="M57" s="123">
        <f>K57*3%</f>
        <v>31.02</v>
      </c>
    </row>
    <row r="58" spans="1:15" s="121" customFormat="1" ht="63" customHeight="1">
      <c r="A58" s="217" t="s">
        <v>102</v>
      </c>
      <c r="B58" s="221" t="s">
        <v>87</v>
      </c>
      <c r="C58" s="230">
        <f>SUM(D58:E58)</f>
        <v>235.87</v>
      </c>
      <c r="D58" s="231">
        <v>229</v>
      </c>
      <c r="E58" s="231">
        <f>0.03*D58</f>
        <v>6.87</v>
      </c>
      <c r="F58" s="226" t="s">
        <v>104</v>
      </c>
      <c r="G58" s="227"/>
      <c r="H58" s="226" t="s">
        <v>115</v>
      </c>
      <c r="K58" s="122">
        <f>K56*0.1</f>
        <v>228.5</v>
      </c>
      <c r="M58" s="123"/>
      <c r="O58" s="124">
        <f>D58/D56</f>
        <v>0.10021881838074398</v>
      </c>
    </row>
    <row r="59" spans="1:15" s="121" customFormat="1" ht="42" customHeight="1">
      <c r="A59" s="217" t="s">
        <v>102</v>
      </c>
      <c r="B59" s="221" t="s">
        <v>88</v>
      </c>
      <c r="C59" s="230">
        <f>SUM(D59:E59)</f>
        <v>941.42</v>
      </c>
      <c r="D59" s="231">
        <v>914</v>
      </c>
      <c r="E59" s="231">
        <f>0.03*D59</f>
        <v>27.419999999999998</v>
      </c>
      <c r="F59" s="226" t="s">
        <v>105</v>
      </c>
      <c r="G59" s="227"/>
      <c r="H59" s="236"/>
      <c r="K59" s="122">
        <f>K56*0.4</f>
        <v>914</v>
      </c>
      <c r="M59" s="123"/>
      <c r="O59" s="124">
        <f>D59/D57</f>
        <v>0.799650043744532</v>
      </c>
    </row>
    <row r="60" spans="1:15" s="121" customFormat="1" ht="42" customHeight="1">
      <c r="A60" s="217" t="s">
        <v>100</v>
      </c>
      <c r="B60" s="221" t="s">
        <v>20</v>
      </c>
      <c r="C60" s="230">
        <f>SUM(D60:E60)</f>
        <v>1176.26</v>
      </c>
      <c r="D60" s="231">
        <v>1142</v>
      </c>
      <c r="E60" s="231">
        <f>0.03*D60</f>
        <v>34.26</v>
      </c>
      <c r="F60" s="226" t="s">
        <v>105</v>
      </c>
      <c r="G60" s="215"/>
      <c r="H60" s="228"/>
      <c r="K60" s="122">
        <v>1251</v>
      </c>
      <c r="M60" s="123">
        <f aca="true" t="shared" si="5" ref="M60:M68">K60*3%</f>
        <v>37.53</v>
      </c>
      <c r="O60" s="124">
        <f>D60/D56</f>
        <v>0.499781181619256</v>
      </c>
    </row>
    <row r="61" spans="1:13" s="103" customFormat="1" ht="60" customHeight="1">
      <c r="A61" s="211" t="s">
        <v>89</v>
      </c>
      <c r="B61" s="212" t="s">
        <v>90</v>
      </c>
      <c r="C61" s="213">
        <f>SUM(D61:E61)</f>
        <v>284</v>
      </c>
      <c r="D61" s="213">
        <v>276</v>
      </c>
      <c r="E61" s="233">
        <v>8</v>
      </c>
      <c r="F61" s="226" t="s">
        <v>103</v>
      </c>
      <c r="G61" s="227"/>
      <c r="H61" s="226" t="s">
        <v>116</v>
      </c>
      <c r="K61" s="110">
        <v>276</v>
      </c>
      <c r="M61" s="118">
        <f t="shared" si="5"/>
        <v>8.28</v>
      </c>
    </row>
    <row r="62" spans="1:13" s="103" customFormat="1" ht="55.5" customHeight="1">
      <c r="A62" s="211" t="s">
        <v>91</v>
      </c>
      <c r="B62" s="212" t="s">
        <v>92</v>
      </c>
      <c r="C62" s="213">
        <f aca="true" t="shared" si="6" ref="C62:C68">D62+E62</f>
        <v>443</v>
      </c>
      <c r="D62" s="233">
        <v>430</v>
      </c>
      <c r="E62" s="233">
        <v>13</v>
      </c>
      <c r="F62" s="226" t="s">
        <v>103</v>
      </c>
      <c r="G62" s="227"/>
      <c r="H62" s="226" t="s">
        <v>121</v>
      </c>
      <c r="K62" s="110">
        <v>430</v>
      </c>
      <c r="M62" s="118">
        <f t="shared" si="5"/>
        <v>12.9</v>
      </c>
    </row>
    <row r="63" spans="1:13" s="102" customFormat="1" ht="50.25" customHeight="1">
      <c r="A63" s="222">
        <v>5</v>
      </c>
      <c r="B63" s="223" t="s">
        <v>8</v>
      </c>
      <c r="C63" s="224">
        <f t="shared" si="6"/>
        <v>459</v>
      </c>
      <c r="D63" s="224">
        <f>D64+D65</f>
        <v>446</v>
      </c>
      <c r="E63" s="224">
        <f>E64+E65</f>
        <v>13</v>
      </c>
      <c r="F63" s="226" t="s">
        <v>179</v>
      </c>
      <c r="G63" s="227"/>
      <c r="H63" s="232"/>
      <c r="K63" s="109">
        <v>446</v>
      </c>
      <c r="M63" s="118">
        <f t="shared" si="5"/>
        <v>13.379999999999999</v>
      </c>
    </row>
    <row r="64" spans="1:13" s="125" customFormat="1" ht="57" customHeight="1">
      <c r="A64" s="211" t="s">
        <v>108</v>
      </c>
      <c r="B64" s="212" t="s">
        <v>9</v>
      </c>
      <c r="C64" s="213">
        <f t="shared" si="6"/>
        <v>381</v>
      </c>
      <c r="D64" s="233">
        <v>370</v>
      </c>
      <c r="E64" s="233">
        <v>11</v>
      </c>
      <c r="F64" s="226" t="s">
        <v>107</v>
      </c>
      <c r="G64" s="227"/>
      <c r="H64" s="226" t="s">
        <v>117</v>
      </c>
      <c r="K64" s="126">
        <v>370</v>
      </c>
      <c r="M64" s="118">
        <f t="shared" si="5"/>
        <v>11.1</v>
      </c>
    </row>
    <row r="65" spans="1:13" s="125" customFormat="1" ht="57" customHeight="1">
      <c r="A65" s="211" t="s">
        <v>109</v>
      </c>
      <c r="B65" s="212" t="s">
        <v>10</v>
      </c>
      <c r="C65" s="213">
        <f t="shared" si="6"/>
        <v>78</v>
      </c>
      <c r="D65" s="233">
        <v>76</v>
      </c>
      <c r="E65" s="233">
        <v>2</v>
      </c>
      <c r="F65" s="226" t="s">
        <v>103</v>
      </c>
      <c r="G65" s="227"/>
      <c r="H65" s="226" t="s">
        <v>118</v>
      </c>
      <c r="K65" s="126">
        <v>76</v>
      </c>
      <c r="M65" s="118">
        <f t="shared" si="5"/>
        <v>2.28</v>
      </c>
    </row>
    <row r="66" spans="1:13" s="102" customFormat="1" ht="47.25" customHeight="1">
      <c r="A66" s="222">
        <v>6</v>
      </c>
      <c r="B66" s="223" t="s">
        <v>11</v>
      </c>
      <c r="C66" s="224">
        <f t="shared" si="6"/>
        <v>1016.61</v>
      </c>
      <c r="D66" s="224">
        <f>D67+D68</f>
        <v>987</v>
      </c>
      <c r="E66" s="224">
        <f>E67+E68</f>
        <v>29.61</v>
      </c>
      <c r="F66" s="226" t="s">
        <v>179</v>
      </c>
      <c r="G66" s="215"/>
      <c r="H66" s="232"/>
      <c r="K66" s="109">
        <v>987</v>
      </c>
      <c r="M66" s="118">
        <f t="shared" si="5"/>
        <v>29.61</v>
      </c>
    </row>
    <row r="67" spans="1:13" s="125" customFormat="1" ht="59.25" customHeight="1">
      <c r="A67" s="211" t="s">
        <v>93</v>
      </c>
      <c r="B67" s="212" t="s">
        <v>12</v>
      </c>
      <c r="C67" s="224">
        <f t="shared" si="6"/>
        <v>664.35</v>
      </c>
      <c r="D67" s="237">
        <v>645</v>
      </c>
      <c r="E67" s="233">
        <v>19.349999999999998</v>
      </c>
      <c r="F67" s="238" t="s">
        <v>104</v>
      </c>
      <c r="G67" s="239"/>
      <c r="H67" s="226" t="s">
        <v>119</v>
      </c>
      <c r="K67" s="126">
        <v>645</v>
      </c>
      <c r="M67" s="118">
        <f t="shared" si="5"/>
        <v>19.349999999999998</v>
      </c>
    </row>
    <row r="68" spans="1:13" s="125" customFormat="1" ht="59.25" customHeight="1">
      <c r="A68" s="211" t="s">
        <v>94</v>
      </c>
      <c r="B68" s="212" t="s">
        <v>13</v>
      </c>
      <c r="C68" s="224">
        <f t="shared" si="6"/>
        <v>352.26</v>
      </c>
      <c r="D68" s="237">
        <v>342</v>
      </c>
      <c r="E68" s="233">
        <v>10.26</v>
      </c>
      <c r="F68" s="238" t="s">
        <v>104</v>
      </c>
      <c r="G68" s="239"/>
      <c r="H68" s="226" t="s">
        <v>120</v>
      </c>
      <c r="K68" s="126">
        <v>342</v>
      </c>
      <c r="M68" s="118">
        <f t="shared" si="5"/>
        <v>10.26</v>
      </c>
    </row>
    <row r="69" spans="1:11" ht="17.25" customHeight="1">
      <c r="A69" s="37"/>
      <c r="B69" s="37"/>
      <c r="C69" s="97"/>
      <c r="D69" s="98"/>
      <c r="E69" s="99"/>
      <c r="F69" s="46"/>
      <c r="G69" s="45"/>
      <c r="H69" s="37"/>
      <c r="K69" s="112"/>
    </row>
  </sheetData>
  <sheetProtection/>
  <mergeCells count="15">
    <mergeCell ref="A9:B9"/>
    <mergeCell ref="F15:F33"/>
    <mergeCell ref="F36:F54"/>
    <mergeCell ref="K6:K7"/>
    <mergeCell ref="M6:M7"/>
    <mergeCell ref="C6:C7"/>
    <mergeCell ref="D6:E6"/>
    <mergeCell ref="G6:G7"/>
    <mergeCell ref="H6:H7"/>
    <mergeCell ref="A2:F2"/>
    <mergeCell ref="A3:F3"/>
    <mergeCell ref="A4:F4"/>
    <mergeCell ref="A6:A7"/>
    <mergeCell ref="B6:B7"/>
    <mergeCell ref="F6:F7"/>
  </mergeCells>
  <printOptions/>
  <pageMargins left="0.54" right="0.1968503937007874" top="0.49" bottom="0.34" header="0.49" footer="0.3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TTH</dc:creator>
  <cp:keywords/>
  <dc:description/>
  <cp:lastModifiedBy>Asus</cp:lastModifiedBy>
  <cp:lastPrinted>2022-08-23T07:30:45Z</cp:lastPrinted>
  <dcterms:created xsi:type="dcterms:W3CDTF">2022-06-16T08:36:14Z</dcterms:created>
  <dcterms:modified xsi:type="dcterms:W3CDTF">2022-08-25T03:22:28Z</dcterms:modified>
  <cp:category/>
  <cp:version/>
  <cp:contentType/>
  <cp:contentStatus/>
</cp:coreProperties>
</file>