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tabRatio="847" firstSheet="2" activeTab="23"/>
  </bookViews>
  <sheets>
    <sheet name="Bia 16-20" sheetId="1" r:id="rId1"/>
    <sheet name="BM1-CTTH" sheetId="2" r:id="rId2"/>
    <sheet name="BM2" sheetId="3" r:id="rId3"/>
    <sheet name="BM3" sheetId="4" r:id="rId4"/>
    <sheet name="BM4" sheetId="5" r:id="rId5"/>
    <sheet name="BM5" sheetId="6" r:id="rId6"/>
    <sheet name="BM6" sheetId="7" r:id="rId7"/>
    <sheet name="BM7" sheetId="8" r:id="rId8"/>
    <sheet name="BM8" sheetId="9" r:id="rId9"/>
    <sheet name="PL2" sheetId="10" state="hidden" r:id="rId10"/>
    <sheet name="BieunayKhongin" sheetId="11" state="hidden" r:id="rId11"/>
    <sheet name="Khongin" sheetId="12" state="hidden" r:id="rId12"/>
    <sheet name="PL17CCTT(khongin)" sheetId="13" state="hidden" r:id="rId13"/>
    <sheet name="Sheet3" sheetId="14" state="hidden" r:id="rId14"/>
    <sheet name="Pl14" sheetId="15" state="hidden" r:id="rId15"/>
    <sheet name="Sheet1" sheetId="16" state="hidden" r:id="rId16"/>
    <sheet name="Sheet2" sheetId="17" state="hidden" r:id="rId17"/>
    <sheet name="Bia 21-25" sheetId="18" r:id="rId18"/>
    <sheet name="BM1CTTH(21-25)" sheetId="19" r:id="rId19"/>
    <sheet name="BM2(B)" sheetId="20" r:id="rId20"/>
    <sheet name="BM3(B)" sheetId="21" r:id="rId21"/>
    <sheet name="BM4(B)" sheetId="22" r:id="rId22"/>
    <sheet name="BM5(B)" sheetId="23" r:id="rId23"/>
    <sheet name="BM6(B)" sheetId="24" r:id="rId24"/>
    <sheet name="BM7(B)" sheetId="25" r:id="rId25"/>
    <sheet name="BM8(B)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Fill" localSheetId="10" hidden="1">#REF!</definedName>
    <definedName name="_Fill" localSheetId="11" hidden="1">#REF!</definedName>
    <definedName name="_Fill" hidden="1">#REF!</definedName>
    <definedName name="_Key1" localSheetId="10" hidden="1">#REF!</definedName>
    <definedName name="_Key1" localSheetId="11" hidden="1">#REF!</definedName>
    <definedName name="_Key1" hidden="1">#REF!</definedName>
    <definedName name="_Key2" localSheetId="10" hidden="1">#REF!</definedName>
    <definedName name="_Key2" localSheetId="11" hidden="1">#REF!</definedName>
    <definedName name="_Key2" hidden="1">#REF!</definedName>
    <definedName name="_Order1" hidden="1">255</definedName>
    <definedName name="_Order2" hidden="1">255</definedName>
    <definedName name="_Sort" localSheetId="10" hidden="1">#REF!</definedName>
    <definedName name="_Sort" localSheetId="11" hidden="1">#REF!</definedName>
    <definedName name="_Sort" hidden="1">#REF!</definedName>
    <definedName name="CLVC3">0.1</definedName>
    <definedName name="DataFilter" localSheetId="10">[1]!DataFilter</definedName>
    <definedName name="DataFilter" localSheetId="11">[1]!DataFilter</definedName>
    <definedName name="DataFilter">[1]!DataFilter</definedName>
    <definedName name="DataSort" localSheetId="10">[1]!DataSort</definedName>
    <definedName name="DataSort" localSheetId="11">[1]!DataSort</definedName>
    <definedName name="DataSort">[1]!DataSort</definedName>
    <definedName name="GoBack" localSheetId="10">[1]!GoBack</definedName>
    <definedName name="GoBack" localSheetId="11">[1]!GoBack</definedName>
    <definedName name="GoBack">[1]!GoBack</definedName>
    <definedName name="h" localSheetId="10" hidden="1">{"'Sheet1'!$L$16"}</definedName>
    <definedName name="h" localSheetId="1" hidden="1">{"'Sheet1'!$L$16"}</definedName>
    <definedName name="h" localSheetId="2" hidden="1">{"'Sheet1'!$L$16"}</definedName>
    <definedName name="h" localSheetId="8" hidden="1">{"'Sheet1'!$L$16"}</definedName>
    <definedName name="h" localSheetId="11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ML_CodePage" hidden="1">950</definedName>
    <definedName name="HTML_Control" localSheetId="10" hidden="1">{"'Sheet1'!$L$16"}</definedName>
    <definedName name="HTML_Control" localSheetId="1" hidden="1">{"'Sheet1'!$L$16"}</definedName>
    <definedName name="HTML_Control" localSheetId="2" hidden="1">{"'Sheet1'!$L$16"}</definedName>
    <definedName name="HTML_Control" localSheetId="8" hidden="1">{"'Sheet1'!$L$16"}</definedName>
    <definedName name="HTML_Control" localSheetId="1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0" hidden="1">{"'Sheet1'!$L$16"}</definedName>
    <definedName name="huy" localSheetId="1" hidden="1">{"'Sheet1'!$L$16"}</definedName>
    <definedName name="huy" localSheetId="2" hidden="1">{"'Sheet1'!$L$16"}</definedName>
    <definedName name="huy" localSheetId="8" hidden="1">{"'Sheet1'!$L$16"}</definedName>
    <definedName name="huy" localSheetId="11" hidden="1">{"'Sheet1'!$L$16"}</definedName>
    <definedName name="huy" hidden="1">{"'Sheet1'!$L$16"}</definedName>
    <definedName name="_xlnm.Print_Area" localSheetId="10">'BieunayKhongin'!$A$1:$O$52</definedName>
    <definedName name="_xlnm.Print_Area" localSheetId="1">'BM1-CTTH'!$A$1:$M$95</definedName>
    <definedName name="_xlnm.Print_Area" localSheetId="2">'BM2'!$A$1:$L$23</definedName>
    <definedName name="_xlnm.Print_Area" localSheetId="3">'BM3'!$A$1:$L$11</definedName>
    <definedName name="_xlnm.Print_Area" localSheetId="4">'BM4'!$A$1:$L$21</definedName>
    <definedName name="_xlnm.Print_Area" localSheetId="21">'BM4(B)'!$A$1:$J$22</definedName>
    <definedName name="_xlnm.Print_Area" localSheetId="6">'BM6'!$A$1:$M$49</definedName>
    <definedName name="_xlnm.Print_Area" localSheetId="7">'BM7'!$A$1:$L$34</definedName>
    <definedName name="_xlnm.Print_Area" localSheetId="11">'Khongin'!$A$1:$I$61</definedName>
    <definedName name="_xlnm.Print_Area" localSheetId="12">'PL17CCTT(khongin)'!$A$1:$V$39</definedName>
    <definedName name="_xlnm.Print_Titles" localSheetId="10">'BieunayKhongin'!$5:$5</definedName>
    <definedName name="_xlnm.Print_Titles" localSheetId="1">'BM1-CTTH'!$5:$6</definedName>
    <definedName name="_xlnm.Print_Titles" localSheetId="18">'BM1CTTH(21-25)'!$4:$5</definedName>
    <definedName name="_xlnm.Print_Titles" localSheetId="2">'BM2'!$6:$6</definedName>
    <definedName name="_xlnm.Print_Titles" localSheetId="3">'BM3'!$5:$5</definedName>
    <definedName name="_xlnm.Print_Titles" localSheetId="4">'BM4'!$5:$5</definedName>
    <definedName name="_xlnm.Print_Titles" localSheetId="5">'BM5'!$5:$6</definedName>
    <definedName name="_xlnm.Print_Titles" localSheetId="22">'BM5(B)'!$5:$6</definedName>
    <definedName name="_xlnm.Print_Titles" localSheetId="6">'BM6'!$4:$6</definedName>
    <definedName name="_xlnm.Print_Titles" localSheetId="23">'BM6(B)'!$5:$6</definedName>
    <definedName name="_xlnm.Print_Titles" localSheetId="7">'BM7'!$4:$6</definedName>
    <definedName name="_xlnm.Print_Titles" localSheetId="24">'BM7(B)'!$4:$5</definedName>
    <definedName name="_xlnm.Print_Titles" localSheetId="8">'BM8'!$5:$6</definedName>
    <definedName name="_xlnm.Print_Titles" localSheetId="25">'BM8(B)'!$5:$6</definedName>
    <definedName name="_xlnm.Print_Titles" localSheetId="11">'Khongin'!$5:$5</definedName>
    <definedName name="_xlnm.Print_Titles" localSheetId="14">'Pl14'!$4:$5</definedName>
    <definedName name="_xlnm.Print_Titles" localSheetId="12">'PL17CCTT(khongin)'!$5:$5</definedName>
    <definedName name="_xlnm.Print_Titles" localSheetId="9">'PL2'!$4:$5</definedName>
    <definedName name="TaxTV">10%</definedName>
    <definedName name="TaxXL">5%</definedName>
    <definedName name="wrn.chi._.tiÆt." localSheetId="1" hidden="1">{#N/A,#N/A,FALSE,"Chi ti?t"}</definedName>
    <definedName name="wrn.chi._.tiÆt." localSheetId="2" hidden="1">{#N/A,#N/A,FALSE,"Chi ti?t"}</definedName>
    <definedName name="wrn.chi._.tiÆt." localSheetId="8" hidden="1">{#N/A,#N/A,FALSE,"Chi ti?t"}</definedName>
    <definedName name="wrn.chi._.tiÆt." localSheetId="11" hidden="1">{#N/A,#N/A,FALSE,"Chi ti?t"}</definedName>
    <definedName name="wrn.chi._.tiÆt." hidden="1">{#N/A,#N/A,FALSE,"Chi ti?t"}</definedName>
    <definedName name="XCCT">0.5</definedName>
  </definedNames>
  <calcPr fullCalcOnLoad="1"/>
</workbook>
</file>

<file path=xl/comments10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bang ke hoach ban dau la 9,5-10,2 nhung trong van kien la tu 10-10,2% o trang 26</t>
        </r>
      </text>
    </comment>
    <comment ref="F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41,5</t>
        </r>
      </text>
    </comment>
    <comment ref="H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71,7 còn số &gt;71,5 là số mới nhất của BỘ Y tế ngày 19/9</t>
        </r>
      </text>
    </comment>
    <comment ref="D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ke hoach 5 năm của Quốc hội là 14,7 nhưng trong văn kiện đại hội đảng là tốc độ tăng trung học chuyên nghiệp là 15%</t>
        </r>
      </text>
    </comment>
    <comment ref="H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15,5 còn số 16 là số mới nhất của Bộ Y tế
</t>
        </r>
      </text>
    </comment>
    <comment ref="H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75
số mới là 80 theo của Bộ Y Tế</t>
        </r>
      </text>
    </comment>
    <comment ref="H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6,3
Số mới là 6,03 của Bộ Y Tế</t>
        </r>
      </text>
    </comment>
    <comment ref="F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van ban chinh thuc cua Bo Nong nghiep phat trien nong thon</t>
        </r>
      </text>
    </comment>
  </commentList>
</comments>
</file>

<file path=xl/comments13.xml><?xml version="1.0" encoding="utf-8"?>
<comments xmlns="http://schemas.openxmlformats.org/spreadsheetml/2006/main">
  <authors>
    <author>10-Chu Van An </author>
  </authors>
  <commentList>
    <comment ref="J61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  <comment ref="J27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H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Đã sửa theo đánh giá lại của thống kê
Số trước khi sửa là 1569,845</t>
        </r>
      </text>
    </comment>
    <comment ref="H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uớc tại kỳ họp 4 khóa 12 là 18
</t>
        </r>
      </text>
    </comment>
    <comment ref="H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tại kỳ họp 4 khóa 12 là 1366,693</t>
        </r>
      </text>
    </comment>
    <comment ref="H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là 28
</t>
        </r>
      </text>
    </comment>
  </commentList>
</comments>
</file>

<file path=xl/comments19.xml><?xml version="1.0" encoding="utf-8"?>
<comments xmlns="http://schemas.openxmlformats.org/spreadsheetml/2006/main">
  <authors>
    <author>Bùi Văn Thường</author>
  </authors>
  <commentList>
    <comment ref="B9" authorId="0">
      <text>
        <r>
          <rPr>
            <sz val="9"/>
            <rFont val="Tahoma"/>
            <family val="2"/>
          </rPr>
          <t xml:space="preserve">Tính theo phương pháp cơ bản </t>
        </r>
      </text>
    </comment>
    <comment ref="B11" authorId="0">
      <text>
        <r>
          <rPr>
            <sz val="9"/>
            <rFont val="Tahoma"/>
            <family val="2"/>
          </rPr>
          <t xml:space="preserve">Tính theo phương pháp cơ bản </t>
        </r>
      </text>
    </comment>
    <comment ref="B13" authorId="0">
      <text>
        <r>
          <rPr>
            <sz val="9"/>
            <rFont val="Tahoma"/>
            <family val="2"/>
          </rPr>
          <t xml:space="preserve">Tính theo phương pháp cơ bản </t>
        </r>
      </text>
    </comment>
    <comment ref="B15" authorId="0">
      <text>
        <r>
          <rPr>
            <sz val="9"/>
            <rFont val="Tahoma"/>
            <family val="2"/>
          </rPr>
          <t xml:space="preserve">Tính theo phương pháp cơ bản </t>
        </r>
      </text>
    </comment>
  </commentList>
</comments>
</file>

<file path=xl/comments2.xml><?xml version="1.0" encoding="utf-8"?>
<comments xmlns="http://schemas.openxmlformats.org/spreadsheetml/2006/main">
  <authors>
    <author>Bùi Văn Thường</author>
    <author>Nguyen</author>
  </authors>
  <commentList>
    <comment ref="B10" authorId="0">
      <text>
        <r>
          <rPr>
            <sz val="9"/>
            <rFont val="Tahoma"/>
            <family val="2"/>
          </rPr>
          <t xml:space="preserve">Tính theo phương pháp cơ bản </t>
        </r>
      </text>
    </comment>
    <comment ref="B12" authorId="0">
      <text>
        <r>
          <rPr>
            <sz val="9"/>
            <rFont val="Tahoma"/>
            <family val="2"/>
          </rPr>
          <t xml:space="preserve">Tính theo phương pháp cơ bản </t>
        </r>
      </text>
    </comment>
    <comment ref="B14" authorId="0">
      <text>
        <r>
          <rPr>
            <sz val="9"/>
            <rFont val="Tahoma"/>
            <family val="2"/>
          </rPr>
          <t xml:space="preserve">Tính theo phương pháp cơ bản </t>
        </r>
      </text>
    </comment>
    <comment ref="B16" authorId="0">
      <text>
        <r>
          <rPr>
            <sz val="9"/>
            <rFont val="Tahoma"/>
            <family val="2"/>
          </rPr>
          <t xml:space="preserve">Tính theo phương pháp cơ bản </t>
        </r>
      </text>
    </comment>
    <comment ref="D51" authorId="1">
      <text>
        <r>
          <rPr>
            <b/>
            <sz val="9"/>
            <rFont val="Tahoma"/>
            <family val="2"/>
          </rPr>
          <t>Tổng thu</t>
        </r>
      </text>
    </comment>
    <comment ref="J62" authorId="1">
      <text>
        <r>
          <rPr>
            <b/>
            <sz val="9"/>
            <rFont val="Tahoma"/>
            <family val="2"/>
          </rPr>
          <t>theo BC ước thực hiện năm 2020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lanhuong</author>
  </authors>
  <commentList>
    <comment ref="I14" authorId="0">
      <text>
        <r>
          <rPr>
            <b/>
            <sz val="9"/>
            <rFont val="Tahoma"/>
            <family val="2"/>
          </rPr>
          <t>lanhuong: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<sst xmlns="http://schemas.openxmlformats.org/spreadsheetml/2006/main" count="2114" uniqueCount="707">
  <si>
    <t>STT</t>
  </si>
  <si>
    <t>ChØ tiªu</t>
  </si>
  <si>
    <t>§¬n vÞ
tÝnh</t>
  </si>
  <si>
    <t>A</t>
  </si>
  <si>
    <t>T¨ng tr­ëng GDP</t>
  </si>
  <si>
    <t>%</t>
  </si>
  <si>
    <t>Trong ®ã:</t>
  </si>
  <si>
    <t xml:space="preserve"> - Tæng GDP theo VN§</t>
  </si>
  <si>
    <t xml:space="preserve"> - Tæng GDP qui USD </t>
  </si>
  <si>
    <t xml:space="preserve"> - GDP b×nh qu©n ®Çu ng­êi</t>
  </si>
  <si>
    <t>USD</t>
  </si>
  <si>
    <t>B</t>
  </si>
  <si>
    <t>10-11</t>
  </si>
  <si>
    <t>1/100.000</t>
  </si>
  <si>
    <t>%o</t>
  </si>
  <si>
    <t>C</t>
  </si>
  <si>
    <t>Ngh×n tû ®ång</t>
  </si>
  <si>
    <t>Tèc ®é t¨ng</t>
  </si>
  <si>
    <t>D</t>
  </si>
  <si>
    <t>Tên chỉ tiêu</t>
  </si>
  <si>
    <t>Đơn vị</t>
  </si>
  <si>
    <t>Mục tiêu KH 2006-2010</t>
  </si>
  <si>
    <t>TH năm 2006</t>
  </si>
  <si>
    <t>TH năm 2007</t>
  </si>
  <si>
    <t>Ước TH năm 2008</t>
  </si>
  <si>
    <t>Khả năng đạt mục tiêu KH 5 năm</t>
  </si>
  <si>
    <t>I.</t>
  </si>
  <si>
    <t>VỀ KINH TẾ</t>
  </si>
  <si>
    <t>Tốc độ tăng tổng sản phẩm trong nước (GDP)</t>
  </si>
  <si>
    <t>7,5-8%/năm, phấn đấu đạt &gt;8%</t>
  </si>
  <si>
    <t>Phấn đấu đạt</t>
  </si>
  <si>
    <t>GDP giá so sánh (năm 2000 là 273.666)</t>
  </si>
  <si>
    <t>tỷ đồng</t>
  </si>
  <si>
    <t>gấp 2,1 lần so với 2000</t>
  </si>
  <si>
    <t>491.258-493.603</t>
  </si>
  <si>
    <t>GDP bình quân đầu người</t>
  </si>
  <si>
    <t>Đạt</t>
  </si>
  <si>
    <t>Giá trị tăng thêm của NLNN</t>
  </si>
  <si>
    <t>Giá trị tăng thêm của CN-XD</t>
  </si>
  <si>
    <t>Giá trị tăng thêm của Dịch vụ</t>
  </si>
  <si>
    <t>Cơ cấu GDP</t>
  </si>
  <si>
    <t>- Nông lâm nghiệp và thủy sản</t>
  </si>
  <si>
    <t>Không đạt</t>
  </si>
  <si>
    <t>- Công nghiệp và xây dựng</t>
  </si>
  <si>
    <t>- Dịch vụ</t>
  </si>
  <si>
    <t>Tốc độ tăng kim ngạch xuất khẩu hàng hóa</t>
  </si>
  <si>
    <t>16</t>
  </si>
  <si>
    <t>Vốn đầu tư phát triển toàn xã hội so với GDP</t>
  </si>
  <si>
    <t>40</t>
  </si>
  <si>
    <t>Tỷ lệ huy động GDP hàng năm vào NSNN</t>
  </si>
  <si>
    <t>21-22</t>
  </si>
  <si>
    <t>II.</t>
  </si>
  <si>
    <t>VỀ XÃ HỘI</t>
  </si>
  <si>
    <t>Số địa phương đạt chuẩn chương trình phổ cập giáo dục trung học cơ sở</t>
  </si>
  <si>
    <t>Tỉnh</t>
  </si>
  <si>
    <t>64 (Hiện nay là 63)</t>
  </si>
  <si>
    <t>Sinh viên ĐH, cao đẳng/vạn dân</t>
  </si>
  <si>
    <t>SV</t>
  </si>
  <si>
    <t>200</t>
  </si>
  <si>
    <t>180</t>
  </si>
  <si>
    <t>188</t>
  </si>
  <si>
    <t>Tỷ lệ lao động qua đào tạo</t>
  </si>
  <si>
    <t>30,5</t>
  </si>
  <si>
    <t>37</t>
  </si>
  <si>
    <t>Tốc độ phát triển dân số</t>
  </si>
  <si>
    <t>Tạo việc làm</t>
  </si>
  <si>
    <t>Triệu LĐ</t>
  </si>
  <si>
    <t>Tỷ lệ thất nghiệp thành thị</t>
  </si>
  <si>
    <t>Tỷ trọng lao động nông lâm ngư nghiệp trong tổng lao động (năm 2005 là 58%)</t>
  </si>
  <si>
    <t>Tuổi thọ trung bình</t>
  </si>
  <si>
    <t>Tuổi</t>
  </si>
  <si>
    <t>72</t>
  </si>
  <si>
    <t>71,5</t>
  </si>
  <si>
    <t>Tốc độ tăng tuyển mới trung cấp chuyên nghiệp</t>
  </si>
  <si>
    <t>13,4</t>
  </si>
  <si>
    <t>Tăng tuyển mới cao đẳng nghề và trung cấp nghề</t>
  </si>
  <si>
    <t>17,0</t>
  </si>
  <si>
    <t>Tỷ lệ tử vong trẻ em dưới 1 tuổi</t>
  </si>
  <si>
    <t>Vượt</t>
  </si>
  <si>
    <t>Tỷ lệ trẻ em dưới 5 tuổi bị suy dinh dưỡng</t>
  </si>
  <si>
    <t>Tỷ lệ tử vong bà mẹ liên quan đến thai sản/100.000 trẻ đẻ sống</t>
  </si>
  <si>
    <t>Bác sĩ/vạn dân</t>
  </si>
  <si>
    <t>bác sĩ</t>
  </si>
  <si>
    <t>Tỷ lệ hộ nghèo (Năm 2005 là 22%)</t>
  </si>
  <si>
    <t>Điện thoại/100 dân</t>
  </si>
  <si>
    <t>máy</t>
  </si>
  <si>
    <t>Internet/100 dân</t>
  </si>
  <si>
    <t>thuê bao</t>
  </si>
  <si>
    <t>III.</t>
  </si>
  <si>
    <t>VỀ MÔI TRƯỜNG</t>
  </si>
  <si>
    <t>Tỷ lệ che phủ rừng</t>
  </si>
  <si>
    <t>Tỷ lệ dân số nông thôn được sử dụng nước hợp vệ sinh</t>
  </si>
  <si>
    <t>Tỷ lệ dân số đô thị được sử dụng nước sạch</t>
  </si>
  <si>
    <t>Thùc hiÖn 2005</t>
  </si>
  <si>
    <t>Ghi chó</t>
  </si>
  <si>
    <t>Dự kiến 2 năm 2009-2010</t>
  </si>
  <si>
    <t>Gấp 1,8 lần</t>
  </si>
  <si>
    <t>Gấp 1,9 lần</t>
  </si>
  <si>
    <t>Thực hiện 2005</t>
  </si>
  <si>
    <t>&lt;18</t>
  </si>
  <si>
    <t xml:space="preserve">CHỈ TIÊU 2 NĂM CÒN LẠI 2009-2010 THEO VĂN KIỆN ĐẠI HỘI ĐẢNG X </t>
  </si>
  <si>
    <t>I</t>
  </si>
  <si>
    <t>II</t>
  </si>
  <si>
    <t>8 (5 năm)</t>
  </si>
  <si>
    <t>58-60</t>
  </si>
  <si>
    <t>Phô lôc 13</t>
  </si>
  <si>
    <t>Nguån vèn huy ®éng</t>
  </si>
  <si>
    <t>- TiÒn göi b»ng VN§</t>
  </si>
  <si>
    <t>- TiÒn göi b»ng ngo¹i tÖ</t>
  </si>
  <si>
    <t>- Tû lÖ tiÒn mÆt ngoµi hÖ thèng ng©n hµng/M2</t>
  </si>
  <si>
    <t>Tæng d­ nî cho vay nÒn kinh tÕ</t>
  </si>
  <si>
    <t>- Cho vay b»ng VN§</t>
  </si>
  <si>
    <t>- Cho vay ngo¹i tÖ</t>
  </si>
  <si>
    <t>GDP</t>
  </si>
  <si>
    <t>- Tû lÖ tiÒn göi/GDP</t>
  </si>
  <si>
    <t>III</t>
  </si>
  <si>
    <t>IV</t>
  </si>
  <si>
    <t>Tæng ph­¬ng tiÖn thanh to¸n/GDP</t>
  </si>
  <si>
    <t>TiÒn mÆt l­u th«ng ngoµi hÖ thèng ng©n hµng</t>
  </si>
  <si>
    <t>Tæng ph­¬ng tiÖn thanh to¸n (M2)</t>
  </si>
  <si>
    <t>+ Tèc ®é t¨ng</t>
  </si>
  <si>
    <t>+Tû lÖ cho vay b»ng VN§/tæng d­ nî</t>
  </si>
  <si>
    <t>+ Tû lÖ cho vay b»ng ngo¹i tÖ/tæng d­ nî</t>
  </si>
  <si>
    <t>- Tèc ®é t¨ng</t>
  </si>
  <si>
    <t>Bình quân/ Thực hiện 3 năm 2006-2008</t>
  </si>
  <si>
    <t>&lt;4,5</t>
  </si>
  <si>
    <t>Khó đạt</t>
  </si>
  <si>
    <t>Gấp 2,0 lần</t>
  </si>
  <si>
    <r>
      <t>25,0</t>
    </r>
    <r>
      <rPr>
        <vertAlign val="superscript"/>
        <sz val="12"/>
        <rFont val="Times New Roman"/>
        <family val="1"/>
      </rPr>
      <t>(1)</t>
    </r>
  </si>
  <si>
    <r>
      <t>(1)</t>
    </r>
    <r>
      <rPr>
        <sz val="12"/>
        <rFont val="Times New Roman"/>
        <family val="1"/>
      </rPr>
      <t xml:space="preserve"> Bình quân năm 2007-2008. Năm 2006 chưa có chỉ tiêu cao đẳng nghề và trung cấp nghề.</t>
    </r>
  </si>
  <si>
    <t>Phụ lục 2</t>
  </si>
  <si>
    <t>Môc tiªu KH 2011-2015</t>
  </si>
  <si>
    <t>tiÒn tÖ - tÝn dông 2011-2015</t>
  </si>
  <si>
    <t xml:space="preserve"> CÁN CÂN THANH TOÁN QUỐC TẾ </t>
  </si>
  <si>
    <t>Đơn vị: triệu USD</t>
  </si>
  <si>
    <t>Mục tiêu kế hoạch 5 năm 2011-2015</t>
  </si>
  <si>
    <t>Thực hiện 
2007</t>
  </si>
  <si>
    <t>Thực hiện
2008</t>
  </si>
  <si>
    <t>Kế hoạch
2009</t>
  </si>
  <si>
    <t>Ước thực hiện
2009</t>
  </si>
  <si>
    <t>KH 2010</t>
  </si>
  <si>
    <t>KH 2012</t>
  </si>
  <si>
    <t>KH 2013</t>
  </si>
  <si>
    <t>KH 2014</t>
  </si>
  <si>
    <t>KH 2015</t>
  </si>
  <si>
    <t>Cán cân thương mại</t>
  </si>
  <si>
    <t>Xuất khẩu</t>
  </si>
  <si>
    <t>Nhập khẩu</t>
  </si>
  <si>
    <t>Nhập khẩu (giá CIF)</t>
  </si>
  <si>
    <t>Dịch vụ</t>
  </si>
  <si>
    <t>Thu</t>
  </si>
  <si>
    <t>Chi</t>
  </si>
  <si>
    <t>Thu nhập đầu tư</t>
  </si>
  <si>
    <t>Chuyển tiền</t>
  </si>
  <si>
    <t>Nhà nước</t>
  </si>
  <si>
    <t>Tư nhân</t>
  </si>
  <si>
    <t>Cán cân vãng lai</t>
  </si>
  <si>
    <t>Cán cân vốn</t>
  </si>
  <si>
    <t>Đầu tư trực tiếp nước ngoài</t>
  </si>
  <si>
    <t>Vay trả nợ trung dài hạn</t>
  </si>
  <si>
    <t>Vay</t>
  </si>
  <si>
    <t>Trả đến hạn</t>
  </si>
  <si>
    <t>Vay ngắn hạn</t>
  </si>
  <si>
    <t>Đầu tư vào giấy tờ có giá</t>
  </si>
  <si>
    <t>Tiền và tiền gửi</t>
  </si>
  <si>
    <t>Lỗi - sai số</t>
  </si>
  <si>
    <t>Cán cân tổng thể</t>
  </si>
  <si>
    <t>Chi số giá</t>
  </si>
  <si>
    <t>PA1</t>
  </si>
  <si>
    <t>PA2</t>
  </si>
  <si>
    <t>TB</t>
  </si>
  <si>
    <t>Tỷ giá</t>
  </si>
  <si>
    <t>Dân số</t>
  </si>
  <si>
    <t>Tổng 5 năm</t>
  </si>
  <si>
    <t>Nguồn</t>
  </si>
  <si>
    <t>KN nhập khẩu</t>
  </si>
  <si>
    <t>Nhập khẩu (giá FOB)</t>
  </si>
  <si>
    <t>Sử dụng</t>
  </si>
  <si>
    <t>Tiêu dùng cuối cùng</t>
  </si>
  <si>
    <t>Tổng tích lũy tài sản</t>
  </si>
  <si>
    <t>Tiết kiệm</t>
  </si>
  <si>
    <t>KNXK</t>
  </si>
  <si>
    <t>XK (giá FOB)</t>
  </si>
  <si>
    <t>Chênh lệch XNK HH và DV</t>
  </si>
  <si>
    <t>Đơn vị tính</t>
  </si>
  <si>
    <t>Ng.tỷ Đ</t>
  </si>
  <si>
    <t>Tỷ USD</t>
  </si>
  <si>
    <t>Ng.Đ</t>
  </si>
  <si>
    <t>Cơ cấu</t>
  </si>
  <si>
    <t>Cơ cấu Tích lũy - tiêu dùng</t>
  </si>
  <si>
    <t>Tiêu dùng</t>
  </si>
  <si>
    <t>TÍch lũy</t>
  </si>
  <si>
    <t>Tiêu dùng/GDP</t>
  </si>
  <si>
    <t>TÍch lũy/GDP</t>
  </si>
  <si>
    <t>Tiết kiệm/GDP</t>
  </si>
  <si>
    <t>NN</t>
  </si>
  <si>
    <t>CN</t>
  </si>
  <si>
    <t>DV</t>
  </si>
  <si>
    <t>NN 1</t>
  </si>
  <si>
    <t>CN 1</t>
  </si>
  <si>
    <t>FII</t>
  </si>
  <si>
    <t>GDP thuc te 1</t>
  </si>
  <si>
    <t>GDP thuc te 2</t>
  </si>
  <si>
    <t>NN 2</t>
  </si>
  <si>
    <t>CN 2</t>
  </si>
  <si>
    <t>DV1</t>
  </si>
  <si>
    <t>DV2</t>
  </si>
  <si>
    <t>Lao dong</t>
  </si>
  <si>
    <t>2015-1</t>
  </si>
  <si>
    <t>2015-2</t>
  </si>
  <si>
    <t>trieu ld</t>
  </si>
  <si>
    <t>Nang suat lao dong</t>
  </si>
  <si>
    <t>Tong 1</t>
  </si>
  <si>
    <t>¦íc thùc hiÖn 2011</t>
  </si>
  <si>
    <t>Trong đó:</t>
  </si>
  <si>
    <t>TỔNG SỐ</t>
  </si>
  <si>
    <t>Nông nghiệp</t>
  </si>
  <si>
    <t>Tỷ trọng so với tổng số (%)</t>
  </si>
  <si>
    <t>Công nghiệp và xây dựng</t>
  </si>
  <si>
    <t>Trong đó</t>
  </si>
  <si>
    <t>Khai khoáng</t>
  </si>
  <si>
    <t>Công nghiệp chế biến và chế tạo</t>
  </si>
  <si>
    <t>Sản xuất và phân phối điện, khí đốt, nước nóng, hơi nước và điều hòa không khí</t>
  </si>
  <si>
    <t>Cung cấp nước; hoạt động quản lý và xử lý nước thải</t>
  </si>
  <si>
    <t>Xây dựng</t>
  </si>
  <si>
    <t>Bán buôn và bán lẻ; sửa chữa ô tô, mô tô và xe máy và xe có động cơ khác</t>
  </si>
  <si>
    <t>Vận tải; kho bãi</t>
  </si>
  <si>
    <t>Dịch vụ lưu trú và ăn uống</t>
  </si>
  <si>
    <t>Thông tin và truyền thông</t>
  </si>
  <si>
    <t>Hoạt động tài chính, ngân hàng và  bảo hiểm</t>
  </si>
  <si>
    <t>Hoạt động kinh doanh bất động sản</t>
  </si>
  <si>
    <t>Hoạt động chuyên môn và khoa học công nghệ</t>
  </si>
  <si>
    <t>Hoạt động hành chính và dịch vụ hỗ trợ</t>
  </si>
  <si>
    <t>Hoạt động của Đảng cộng sản, tổ chức chính trị - xã hội; quản lý Nhà nước, an ninh quốc phòng; đảm bảo xã hội bắt buộc</t>
  </si>
  <si>
    <t>Giáo dục và đào tạo</t>
  </si>
  <si>
    <t xml:space="preserve">Y tế và hoạt động trợ giúp xã hội </t>
  </si>
  <si>
    <t>Nghệ thuật, vui chơi và giải trí</t>
  </si>
  <si>
    <t>Hoạt động khác</t>
  </si>
  <si>
    <t>Hoàn trả tạm ứng theo Quyết định 910/QĐ-TTg (phần địa phương)</t>
  </si>
  <si>
    <t>VI</t>
  </si>
  <si>
    <t>Các khoản chưa phân bổ cụ thể</t>
  </si>
  <si>
    <t>Chuẩn bị đầu tư</t>
  </si>
  <si>
    <t>An ninh</t>
  </si>
  <si>
    <t>Quốc phòng</t>
  </si>
  <si>
    <t>Quản lý nhà nước</t>
  </si>
  <si>
    <t>Thông tin</t>
  </si>
  <si>
    <t>Thể thao</t>
  </si>
  <si>
    <t>Văn hóa</t>
  </si>
  <si>
    <t>Tổng VH+TT</t>
  </si>
  <si>
    <t>Văn hoá</t>
  </si>
  <si>
    <t>Xã hội</t>
  </si>
  <si>
    <t>Y tế</t>
  </si>
  <si>
    <t>Y tế - xã hội</t>
  </si>
  <si>
    <t>Tài nguyên và Môi trường</t>
  </si>
  <si>
    <t>qlnn</t>
  </si>
  <si>
    <t>Khoa học, công nghệ và công nghệ thông tin</t>
  </si>
  <si>
    <t>cap nuoc</t>
  </si>
  <si>
    <t>gt</t>
  </si>
  <si>
    <t>Cấp nước và xử lý rác thải, nước thải</t>
  </si>
  <si>
    <t>nn</t>
  </si>
  <si>
    <t>Lĩnh vực xã hội</t>
  </si>
  <si>
    <t>Kho tàng</t>
  </si>
  <si>
    <t>Giao thông vận tải</t>
  </si>
  <si>
    <t>Nông, lâm nghiệp và thủy sản</t>
  </si>
  <si>
    <t>Công nghiệp</t>
  </si>
  <si>
    <t>Lĩnh vực kinh tế</t>
  </si>
  <si>
    <t>- Chi bổ sung dự trữ nhà nước</t>
  </si>
  <si>
    <t>- Vốn điều lệ: Quỹ hợp tác xã</t>
  </si>
  <si>
    <t>- Cho vay chính sách hộ đồng bào dân tộc thiểu số đặc biệt khó khăn, nhà ở cho người nghèo, cho vay hộ đồng bào nghèo vùng Đồng bằng Sông Cửu Long,...</t>
  </si>
  <si>
    <t>- Lợi nhuận để lại đầu tư của Tập đoàn Dầu khí</t>
  </si>
  <si>
    <t>Cho vay giải quyết việc làm</t>
  </si>
  <si>
    <t>- Bù lãi suất tín dụng đầu tư và tín dụng chính sách xã hội</t>
  </si>
  <si>
    <t>- Bổ sung vốn cho các doanh nghiệp công ích và doanh nghiệp của khu kinh tế quốc phòng</t>
  </si>
  <si>
    <t>- Bổ sung các Quỹ xúc tiến thương mại, đầu tư, du lịch và góp vốn cổ phần các tổ chức tài chính quốc tế</t>
  </si>
  <si>
    <t>CÁC KHOẢN CHI CHUNG</t>
  </si>
  <si>
    <t>Phụ lục 17</t>
  </si>
  <si>
    <t>2011-2015</t>
  </si>
  <si>
    <t>Ngành, lĩnh vực</t>
  </si>
  <si>
    <t>Chỉ số giá tiêu dùng</t>
  </si>
  <si>
    <t>Phụ lục 12b</t>
  </si>
  <si>
    <t>Phụ lục 13b</t>
  </si>
  <si>
    <t>Phương án 1</t>
  </si>
  <si>
    <t>Phương án 2</t>
  </si>
  <si>
    <r>
      <t xml:space="preserve">ĐẦU TƯ PHÁT TRIỂN TOÀN XÃ HỘI THEO NGÀNH, LĨNH VỰC GIAI ĐOẠN 2011-2015
</t>
    </r>
    <r>
      <rPr>
        <b/>
        <i/>
        <sz val="14"/>
        <rFont val="Times New Roman"/>
        <family val="1"/>
      </rPr>
      <t>(Phương án 2)</t>
    </r>
  </si>
  <si>
    <t>-</t>
  </si>
  <si>
    <t>Đơn vị: Tỷ đồng (giá thực tế)</t>
  </si>
  <si>
    <r>
      <t xml:space="preserve">ĐẦU TƯ NGUỒN NSNN VÀ TPCP PHÂN THEO NGÀNH, LĨNH VỰC GIAI ĐOẠN 2011-2015
</t>
    </r>
    <r>
      <rPr>
        <b/>
        <i/>
        <sz val="12"/>
        <rFont val="Times New Roman"/>
        <family val="1"/>
      </rPr>
      <t>(Phương án 2)</t>
    </r>
  </si>
  <si>
    <t>Chỉ tiêu</t>
  </si>
  <si>
    <t>Chỉ tiêu kinh tế</t>
  </si>
  <si>
    <t xml:space="preserve"> - Nông, lâm nghiệp và thuỷ sản</t>
  </si>
  <si>
    <t xml:space="preserve"> - Công nghiệp và xây dựng</t>
  </si>
  <si>
    <t xml:space="preserve"> - Dịch vụ</t>
  </si>
  <si>
    <t>Xuất nhập khẩu</t>
  </si>
  <si>
    <t xml:space="preserve"> - Tổng kim ngạch xuất khẩu hàng hóa</t>
  </si>
  <si>
    <t xml:space="preserve"> Tốc độ tăng xuất khẩu</t>
  </si>
  <si>
    <t xml:space="preserve"> - Tổng kim ngạch nhập khẩu hàng hóa</t>
  </si>
  <si>
    <t xml:space="preserve"> Tốc độ tăng nhập khẩu</t>
  </si>
  <si>
    <t>Chỉ tiêu xã hội</t>
  </si>
  <si>
    <t>- Số thuê bao internet băng thông rộng/100 dân</t>
  </si>
  <si>
    <t>- Tỷ lệ khu công nghiệp, khu chế xuất đang hoạt động có hệ thống xử lý nước thải tập trung đạt tiêu chuẩn môi trường</t>
  </si>
  <si>
    <t>- Nhập siêu so với xuất khẩu</t>
  </si>
  <si>
    <t>- Dân số trung bình</t>
  </si>
  <si>
    <t>- Tuổi thọ trung bình</t>
  </si>
  <si>
    <t xml:space="preserve"> % </t>
  </si>
  <si>
    <t xml:space="preserve"> Tỷ USD </t>
  </si>
  <si>
    <t xml:space="preserve"> USD </t>
  </si>
  <si>
    <t xml:space="preserve"> Thuê bao </t>
  </si>
  <si>
    <t>- Số lao động được tạo việc làm</t>
  </si>
  <si>
    <t>- Tỷ lệ lao động qua đào tạo trong tổng số lao động đang làm việc trong nền kinh tế</t>
  </si>
  <si>
    <t>- Tỷ lệ thất nghiệp khu vực thành thị</t>
  </si>
  <si>
    <t>Triệu đồng</t>
  </si>
  <si>
    <t>Chỉ tiêu Tài nguyên - Môi trường và phát triển bền vững</t>
  </si>
  <si>
    <t>- Tỷ lệ dân số nông thôn được cung cấp nước hợp vệ sinh</t>
  </si>
  <si>
    <t>- Tỷ lệ dân số thành thị được cung cấp nước sạch</t>
  </si>
  <si>
    <t>- Kim ngạch xuất khẩu/người</t>
  </si>
  <si>
    <t>- Thu gom chất thải rắn ở đô thị</t>
  </si>
  <si>
    <t xml:space="preserve"> Tuổi </t>
  </si>
  <si>
    <t>Tổng vốn đầu tư toàn xã hội so GRDP</t>
  </si>
  <si>
    <t>Tỷ lệ nợ chính quyền địa phương so tổng chi NSNN</t>
  </si>
  <si>
    <t xml:space="preserve"> - GRDP theo VNĐ</t>
  </si>
  <si>
    <t xml:space="preserve"> - Tổng GRDP qui USD </t>
  </si>
  <si>
    <t xml:space="preserve"> - GRDP bình quân đầu người</t>
  </si>
  <si>
    <t>- Tỷ lệ tăng dân số</t>
  </si>
  <si>
    <t>Thực hiện 2011-2015</t>
  </si>
  <si>
    <t>KH 2016</t>
  </si>
  <si>
    <t>KH 2017</t>
  </si>
  <si>
    <t>KH 2018</t>
  </si>
  <si>
    <t>KH 2019</t>
  </si>
  <si>
    <t>KH 2020</t>
  </si>
  <si>
    <t>Mục tiêu kế hoạch 5 năm 2016-2020</t>
  </si>
  <si>
    <t xml:space="preserve">GRDP (giá hiện hành) </t>
  </si>
  <si>
    <t>- Tỷ lệ che phủ rừng</t>
  </si>
  <si>
    <t xml:space="preserve">2016-2020  </t>
  </si>
  <si>
    <t>MỘT SỐ CHỈ TIÊU CHỦ YẾU KẾ HOẠCH PHÁT TRIỂN KINH TẾ - XÃ HỘI 5 NĂM 2016-2020</t>
  </si>
  <si>
    <t>- Tỷ lệ thiếu việc làm khu vực nông thôn</t>
  </si>
  <si>
    <t xml:space="preserve"> - Nông, lâm nghiệp và thuỷ sản </t>
  </si>
  <si>
    <t xml:space="preserve"> - Công nghiệp và xây dựng </t>
  </si>
  <si>
    <t xml:space="preserve"> - Dịch vụ </t>
  </si>
  <si>
    <t>Tốc độ tăng trưởng</t>
  </si>
  <si>
    <t>Tổng sản phẩm GRDP</t>
  </si>
  <si>
    <t>Cơ cấu :</t>
  </si>
  <si>
    <t>Tổng vốn đầu tư toàn xã hội</t>
  </si>
  <si>
    <t>Cơ cấu kinh tế (Giá HH)</t>
  </si>
  <si>
    <t>Hệ số ICOR</t>
  </si>
  <si>
    <t>Thực hiện
 2011-2015</t>
  </si>
  <si>
    <t xml:space="preserve">Tốc độ tăng giá trị sản xuất </t>
  </si>
  <si>
    <t xml:space="preserve">Giá trị tăng thêm </t>
  </si>
  <si>
    <t>Tỷ đồng</t>
  </si>
  <si>
    <t>Sản phẩm chủ yếu</t>
  </si>
  <si>
    <t xml:space="preserve"> - Lương thực có hạt</t>
  </si>
  <si>
    <t xml:space="preserve">   Trong đó: + Thóc</t>
  </si>
  <si>
    <t xml:space="preserve">                    + Ngô</t>
  </si>
  <si>
    <t xml:space="preserve"> - Cà phê</t>
  </si>
  <si>
    <t xml:space="preserve"> - Cao su</t>
  </si>
  <si>
    <t xml:space="preserve"> - Thịt hơi các loại</t>
  </si>
  <si>
    <t xml:space="preserve"> - Trồng rừng tập trung</t>
  </si>
  <si>
    <t xml:space="preserve"> - Tỷ lệ che phủ rừng</t>
  </si>
  <si>
    <t xml:space="preserve"> - Sản lượng thuỷ hải sản</t>
  </si>
  <si>
    <t xml:space="preserve"> - Diện tích nuôi trồng thuỷ sản</t>
  </si>
  <si>
    <t>Biểu mẫu số 3</t>
  </si>
  <si>
    <t>KẾ HOẠCH NGÀNH CÔNG NGHIỆP 5 NĂM 2016 - 2020</t>
  </si>
  <si>
    <t>Tấn</t>
  </si>
  <si>
    <t>Xã</t>
  </si>
  <si>
    <t>Biểu mẫu số 4</t>
  </si>
  <si>
    <t>Ngành công nghiệp</t>
  </si>
  <si>
    <t>1</t>
  </si>
  <si>
    <t>Biểu mẫu số 5</t>
  </si>
  <si>
    <t>KẾ HOẠCH NGÀNH DỊCH VỤ 5 NĂM 2016 - 2020</t>
  </si>
  <si>
    <t>1.</t>
  </si>
  <si>
    <t>Thương mại</t>
  </si>
  <si>
    <t xml:space="preserve"> Tốc độ tăng tổng mức bán lẻ hàng hóa và dịch vụ tiêu dùng xã hội</t>
  </si>
  <si>
    <t>2.</t>
  </si>
  <si>
    <t>Vận tải</t>
  </si>
  <si>
    <t>- Tốc độ tăng khối lượng hàng hoá vận chuyển</t>
  </si>
  <si>
    <t>- Tốc độ tăng khối lượng hàng hoá luân chuyển</t>
  </si>
  <si>
    <t>- Tốc độ tăng khối lượng hành khách vận chuyển</t>
  </si>
  <si>
    <t>- Tốc độ tăng khối lượng hành khách luân chuyển</t>
  </si>
  <si>
    <t>3.</t>
  </si>
  <si>
    <t>Thông tin - Truyền thông</t>
  </si>
  <si>
    <t>- Số thuê bao điện thoại/100 dân</t>
  </si>
  <si>
    <t>4.</t>
  </si>
  <si>
    <t>Du lịch</t>
  </si>
  <si>
    <t>Biểu mẫu số 6</t>
  </si>
  <si>
    <t>Biểu mẫu số 7</t>
  </si>
  <si>
    <t>GIÁO DỤC</t>
  </si>
  <si>
    <t>Giáo dục mầm non</t>
  </si>
  <si>
    <t>- Số học sinh mẫu giáo</t>
  </si>
  <si>
    <t xml:space="preserve">Học sinh </t>
  </si>
  <si>
    <t>Giáo dục tiểu học</t>
  </si>
  <si>
    <t>- Số học sinh tiểu học</t>
  </si>
  <si>
    <t>Giáo dục trung học cơ sở</t>
  </si>
  <si>
    <t>- Số học sinh trung học cơ sở</t>
  </si>
  <si>
    <t>Giáo dục trung học phổ thông</t>
  </si>
  <si>
    <t>- Số học sinh trung học phổ thông</t>
  </si>
  <si>
    <t>ĐÀO TẠO</t>
  </si>
  <si>
    <t>Đại học, cao đẳng</t>
  </si>
  <si>
    <t xml:space="preserve"> - Tuyển mới đại học và cao đẳng chính quy</t>
  </si>
  <si>
    <t xml:space="preserve"> Người </t>
  </si>
  <si>
    <t xml:space="preserve"> Tốc độ tăng tuyển mới đại học và cao đẳng chính quy</t>
  </si>
  <si>
    <t xml:space="preserve"> (%) </t>
  </si>
  <si>
    <t>Dạy nghề và trung cấp chuyên nghiệp</t>
  </si>
  <si>
    <t>- Tuyển mới trung cấp chuyên nghiệp</t>
  </si>
  <si>
    <t>- Tuyển mới cao đẳng nghề và trung cấp nghề</t>
  </si>
  <si>
    <t>Tốc độ tăng tuyển mới cao đẳng, trung cấp nghề</t>
  </si>
  <si>
    <t>- Tỷ lệ lao động qua đào tạo</t>
  </si>
  <si>
    <t>Biểu mẫu số 8</t>
  </si>
  <si>
    <t>KẾ HOẠCH CÁC LĨNH VỰC XÃ HỘI 5 NĂM 2016 - 2020</t>
  </si>
  <si>
    <t>DÂN SỐ</t>
  </si>
  <si>
    <t>Dân số trung bình (năm cuối kỳ)</t>
  </si>
  <si>
    <t>Người</t>
  </si>
  <si>
    <t>Trong đó: Dân số nông thôn</t>
  </si>
  <si>
    <t>- Mức giảm tỷ lệ sinh (năm cuối kỳ)</t>
  </si>
  <si>
    <t>LAO ĐỘNG</t>
  </si>
  <si>
    <t>Lực lượng lao động từ 15 tuổi trở lên</t>
  </si>
  <si>
    <t>Lao động từ 15 tuổi trở lên đang làm việc trong nền kinh tế quốc dân</t>
  </si>
  <si>
    <t>Cơ cấu lao động (năm cuối kỳ)</t>
  </si>
  <si>
    <t>- Nông, lâm nghiệp và thuỷ sản</t>
  </si>
  <si>
    <t>Số lao động được tạo việc làm</t>
  </si>
  <si>
    <t>VĂN HÓA</t>
  </si>
  <si>
    <t>Số di tích được tu bổ</t>
  </si>
  <si>
    <t xml:space="preserve"> Di tích </t>
  </si>
  <si>
    <t>Tỷ lệ xã, phường phù hợp với trẻ em</t>
  </si>
  <si>
    <t>Tỷ lệ trẻ em có hoàn cảnh đặc biệt được chăm sóc</t>
  </si>
  <si>
    <t>Y TẾ (năm cuối kỳ)</t>
  </si>
  <si>
    <t>Số giường bệnh/ 1 vạn dân (không tính giường của trạm y tế xã)</t>
  </si>
  <si>
    <t xml:space="preserve"> Giường </t>
  </si>
  <si>
    <t>- Số giường bệnh quốc lập/ vạn dân</t>
  </si>
  <si>
    <t>- Số giường bệnh tư/ vạn dân</t>
  </si>
  <si>
    <t>Số bác sỹ/ 1 vạn dân</t>
  </si>
  <si>
    <t xml:space="preserve"> Bác sỹ </t>
  </si>
  <si>
    <t>Tỷ suất chết trẻ em dưới 1 tuổi</t>
  </si>
  <si>
    <t>Tỷ suất chết của trẻ em dưới 5 tuổi</t>
  </si>
  <si>
    <t>Tỷ lệ trẻ em dưới 5 tuổi suy dinh dưỡng (cân nặng theo tuổi)</t>
  </si>
  <si>
    <t>Tỷ lệ trẻ em dưới 1 tuổi tiêm đủ 7 loại vaccine</t>
  </si>
  <si>
    <t>Tỷ lệ người dân tham gia bảo hiểm y tế</t>
  </si>
  <si>
    <t>&gt;98</t>
  </si>
  <si>
    <t>Nguồn vốn</t>
  </si>
  <si>
    <t xml:space="preserve"> Nghìn tỷ đồng </t>
  </si>
  <si>
    <t>Thu từ dầu thô</t>
  </si>
  <si>
    <t>Chi thường xuyên</t>
  </si>
  <si>
    <t>Chi đầu tư phát triển</t>
  </si>
  <si>
    <t>Chi trả nợ, viện trợ</t>
  </si>
  <si>
    <t>Doanh nghiệp</t>
  </si>
  <si>
    <t>TT</t>
  </si>
  <si>
    <t>Mục tiêu KH 2016-2020</t>
  </si>
  <si>
    <t>Hợp tác xã</t>
  </si>
  <si>
    <t>Tổng số  hợp tác xã</t>
  </si>
  <si>
    <t>Số hợp tác xã thành lập mới</t>
  </si>
  <si>
    <t>Số hợp tác xã giải thể</t>
  </si>
  <si>
    <t>Tổng số thành viên hợp tác xã</t>
  </si>
  <si>
    <t>Tổng số lao động trong hợp tác xã</t>
  </si>
  <si>
    <t>Liên hiệp hợp tác xã</t>
  </si>
  <si>
    <t>Tổng số liên hiệp hợp tác xã</t>
  </si>
  <si>
    <t>Số liên hiệp hợp tác xã thành lập mới</t>
  </si>
  <si>
    <t>Số liên hiệp hợp tác xã giải thể</t>
  </si>
  <si>
    <t>Tổng số hợp tác xã thành viên</t>
  </si>
  <si>
    <t xml:space="preserve">Tổng số lao động trong liên hiệp hợp tác xã </t>
  </si>
  <si>
    <t xml:space="preserve">Tổ hợp tác </t>
  </si>
  <si>
    <t>Tổng số tổ hợp tác</t>
  </si>
  <si>
    <t>Tổ hợp tác</t>
  </si>
  <si>
    <t>Tổng số thành viên tổ hợp tác</t>
  </si>
  <si>
    <t>Thành viên</t>
  </si>
  <si>
    <t xml:space="preserve">Tổng số lao động trong tổ hợp tác </t>
  </si>
  <si>
    <t>Số lao động là thành viên tổ hợp tác</t>
  </si>
  <si>
    <t>Số lao động là thành viên của tổ hợp tác đăng ký chứng thực</t>
  </si>
  <si>
    <r>
      <t xml:space="preserve">Trong đó: </t>
    </r>
    <r>
      <rPr>
        <sz val="14"/>
        <rFont val="Times New Roman"/>
        <family val="1"/>
      </rPr>
      <t>Số lao động là thành viên hợp tác xã</t>
    </r>
  </si>
  <si>
    <r>
      <t>Trong đó:</t>
    </r>
    <r>
      <rPr>
        <sz val="14"/>
        <rFont val="Times New Roman"/>
        <family val="1"/>
      </rPr>
      <t xml:space="preserve"> Số tổ hợp tác đăng ký chứng thực</t>
    </r>
  </si>
  <si>
    <r>
      <t>Trong đó:</t>
    </r>
    <r>
      <rPr>
        <sz val="14"/>
        <rFont val="Times New Roman"/>
        <family val="1"/>
      </rPr>
      <t xml:space="preserve"> Số thành viên của tổ hợp tác đăng ký chứng thực</t>
    </r>
  </si>
  <si>
    <t xml:space="preserve"> Triệu USD </t>
  </si>
  <si>
    <t>KẾ HOẠCH NGÀNH NÔNG, LÂM NGHIỆP VÀ THỦY SẢN 5 NĂM 2016 - 2020</t>
  </si>
  <si>
    <t xml:space="preserve"> Nghìn lượt người </t>
  </si>
  <si>
    <t xml:space="preserve"> - Cây Mắc ca</t>
  </si>
  <si>
    <t>- Tỷ lệ các cơ sở khám chữa bệnh xử lý chất thải y tế đạt tiêu chuẩn</t>
  </si>
  <si>
    <t>Tỷ số tử vong mẹ trên 100.000 trẻ đẻ sống</t>
  </si>
  <si>
    <t>Bà mẹ</t>
  </si>
  <si>
    <t>Tỷ lệ xã đạt Tiêu chí quốc gia về y tế xã</t>
  </si>
  <si>
    <t>Mục tiêu giai đoạn 2016-2020</t>
  </si>
  <si>
    <t>THỰC HIỆN TỪNG NĂM</t>
  </si>
  <si>
    <t>Ước thực hiện giai đoạn 2016-2020</t>
  </si>
  <si>
    <t>Đánh giá thực hiện mục tiêu giai đoạn 2016-2020</t>
  </si>
  <si>
    <t xml:space="preserve">CƠ QUAN BÁO CÁO </t>
  </si>
  <si>
    <t>Bội chi ngân sách nhà nước so với GDP</t>
  </si>
  <si>
    <t>Tốc độ tăng năng suất lao động xã hội bình quân năm</t>
  </si>
  <si>
    <t>Tỷ lệ lao động nông nghiệp trong tổng lao động xã hội đến năm cuối kỳ</t>
  </si>
  <si>
    <t xml:space="preserve"> Trong đó: có bằng cấp, chứng chỉ</t>
  </si>
  <si>
    <t>Số bác sỹ trên 1 vạn dân đến năm cuối kỳ</t>
  </si>
  <si>
    <t>Tỷ lệ bao phủ bảo hiểm y tế đến năm cuối kỳ</t>
  </si>
  <si>
    <t>Bác sỹ</t>
  </si>
  <si>
    <t>Giường bệnh</t>
  </si>
  <si>
    <t>Số giường bệnh trên 1 vạn dân đến năm cuối kỳ</t>
  </si>
  <si>
    <t>CÁC CÂN ĐỐI LỚN CỦA NỀN KINH TẾ</t>
  </si>
  <si>
    <t>Nghìn tỷ đồng</t>
  </si>
  <si>
    <t>E</t>
  </si>
  <si>
    <t>Tổng thu ngân sách nhà nước</t>
  </si>
  <si>
    <t>Thu nội địa</t>
  </si>
  <si>
    <t>Thu cân đối từ hoạt động xuất khẩu, nhập khẩu</t>
  </si>
  <si>
    <t>Thu viện trợ</t>
  </si>
  <si>
    <t>Tổng chi ngân sách nhà nước</t>
  </si>
  <si>
    <t>Bội chi ngân sách nhà nước</t>
  </si>
  <si>
    <t>Bội chi ngân sách trung ương</t>
  </si>
  <si>
    <t>Bội chi ngân sách địa phương</t>
  </si>
  <si>
    <t>V</t>
  </si>
  <si>
    <t>- Nguồn ngân sách nhà nước</t>
  </si>
  <si>
    <t>- Tín dụng đầu tư phát triển nhà nước</t>
  </si>
  <si>
    <t>- Doanh nghiệp nhà nước</t>
  </si>
  <si>
    <t>- Dân cư và doanh nghiệp tư nhân</t>
  </si>
  <si>
    <t>- Đầu tư trực tiếp nước ngoài</t>
  </si>
  <si>
    <t>- Huy động khác</t>
  </si>
  <si>
    <t>Thu bổ sung từ NSTW</t>
  </si>
  <si>
    <t>Triệu đồng/lao động</t>
  </si>
  <si>
    <t>Ngành nông, lâm nghiệp và thủy sản</t>
  </si>
  <si>
    <t>Ngành dịch vụ</t>
  </si>
  <si>
    <t xml:space="preserve"> NĂNG SUẤT LAO ĐỘNG</t>
  </si>
  <si>
    <t>Năng suất lao động xã hội (Theo giá hiện hành)</t>
  </si>
  <si>
    <t>+ Nuôi trồng</t>
  </si>
  <si>
    <t>+ Khai thác</t>
  </si>
  <si>
    <t>VỀ DOANH NGHIỆP VÀ KINH TẾ TẬP THỂ</t>
  </si>
  <si>
    <t>- Tổng số doanh nghiệp đăng ký thành lập (lũy kế)</t>
  </si>
  <si>
    <t>- Số doanh nghiệp hoạt động trong nền kinh tế (không tính các doanh nghiệp đã giải thể)</t>
  </si>
  <si>
    <t>- Số doanh nghiệp đăng ký mới</t>
  </si>
  <si>
    <t>- Tổng số vốn đăng ký của doanh nghiệp thành lập mới</t>
  </si>
  <si>
    <t>- Số doanh nghiệp hoàn tất thủ tục giải thể</t>
  </si>
  <si>
    <t>+ Vốn đầu tư thực hiện</t>
  </si>
  <si>
    <t>+ Vốn đăng ký</t>
  </si>
  <si>
    <t>(+) Cấp mới</t>
  </si>
  <si>
    <t>(+) Tăng thêm</t>
  </si>
  <si>
    <t>Thu ngân sách địa phương</t>
  </si>
  <si>
    <t>- Tổng thu ngân sách nhà nước trên địa bàn</t>
  </si>
  <si>
    <t>+ Thu nội địa</t>
  </si>
  <si>
    <t>Thu từ tiền sử dụng đất</t>
  </si>
  <si>
    <t>Thu từ xổ số kiến thiết</t>
  </si>
  <si>
    <t>- Thu ngân sách địa phương hưởng theo phân cấp</t>
  </si>
  <si>
    <t>+ Thu ngân sách đại phương hưởng 100%</t>
  </si>
  <si>
    <t>+ Thu ngân sách địa phương hưởng từ các khoản theo phân chia</t>
  </si>
  <si>
    <t>Chi ngân sách địa phương</t>
  </si>
  <si>
    <t>- Tổng chi cân đối ngân sách địa phương</t>
  </si>
  <si>
    <t>+ Chi đầu tư</t>
  </si>
  <si>
    <t>+ Chi thường xuyên (bao gồm chi cải cách tiền lương, tinh giản biên chế)</t>
  </si>
  <si>
    <t>- Tỷ lệ rác thải sinh hoạt (ở đô thị và nông thôn) được thu gom và xử lý</t>
  </si>
  <si>
    <t>Nông thôn mới</t>
  </si>
  <si>
    <t>Số xã đạt chuẩn nông thôn mới</t>
  </si>
  <si>
    <t>Tỷ lệ số xã đạt chuẩn nông thôn mới</t>
  </si>
  <si>
    <t>Tỷ lệ số huyện đạt chuẩn/hoàn thành nhiệm vụ xây dựng nông thôn mới</t>
  </si>
  <si>
    <t>Hộ nghèo theo chuẩn nghèo đa chiều</t>
  </si>
  <si>
    <t>- Tỷ lệ hộ nghèo theo chuẩn nghèo đa chiều</t>
  </si>
  <si>
    <t>- Mức giảm tỷ lệ hộ nghèo theo chuẩn nghèo đa chiều</t>
  </si>
  <si>
    <t>Mật độ dân số đến năm cuối kỳ</t>
  </si>
  <si>
    <t>Người/Km2</t>
  </si>
  <si>
    <t>Số bé trai/100 bé gái</t>
  </si>
  <si>
    <t>- Tỷ số giới tính của trẻ em mới sinh</t>
  </si>
  <si>
    <t>- Doanh thu dịch vụ du lịch</t>
  </si>
  <si>
    <t>Tỷ lệ đô thị hóa đến năm cuối kỳ</t>
  </si>
  <si>
    <t>Biểu mẫu số 1</t>
  </si>
  <si>
    <t>Biểu mẫu số 2</t>
  </si>
  <si>
    <t>Mục tiêu giai đoạn 2021-2025</t>
  </si>
  <si>
    <t>KH 2021</t>
  </si>
  <si>
    <t>KH 2022</t>
  </si>
  <si>
    <t>KH 2023</t>
  </si>
  <si>
    <t>KH 2024</t>
  </si>
  <si>
    <t>KH 2025</t>
  </si>
  <si>
    <t xml:space="preserve">2021-2025  </t>
  </si>
  <si>
    <t>KẾ HOẠCH NGÀNH NÔNG, LÂM NGHIỆP VÀ THỦY SẢN 5 NĂM 2021 - 2025</t>
  </si>
  <si>
    <t>KẾ HOẠCH TỪNG NĂM</t>
  </si>
  <si>
    <t>Ước thực hiện 2016-2020</t>
  </si>
  <si>
    <t>2021-2025</t>
  </si>
  <si>
    <t>PHỤ LỤC A</t>
  </si>
  <si>
    <t>PHỤ LỤC B</t>
  </si>
  <si>
    <t>NĂNG SUẤT LAO ĐỘNG</t>
  </si>
  <si>
    <t xml:space="preserve"> Tổng số TE có hoàn cảnh đặc biệt được hưởng trợ cấp tại cộng đồng</t>
  </si>
  <si>
    <t xml:space="preserve"> Trong đó:</t>
  </si>
  <si>
    <t xml:space="preserve"> Số trẻ em không nơi nương tựa được nhận nuôi dưỡng tại cộng đồng</t>
  </si>
  <si>
    <t xml:space="preserve"> Số trẻ em mồ côi được nhận nuôi dưỡng tại Trung tâm BTXH tỉnh và Làng trẻ SOS</t>
  </si>
  <si>
    <t xml:space="preserve"> Số trẻ em được hưởng các dịch vụ về tư pháp, y tế, giáo dục và BVTE</t>
  </si>
  <si>
    <t xml:space="preserve"> Số vụ bạo hành trẻ em được phát hiện</t>
  </si>
  <si>
    <t xml:space="preserve"> Số cán bộ làm công tác bảo vệ trẻ em/cán bộ công tác xã hội các cấp tham gia quản lý trường hợp</t>
  </si>
  <si>
    <t xml:space="preserve"> Số xã, phường, thị trấn có Ban bảo vệ trẻ em hoạt động cung cấp dịch vụ bảo vệ trẻ em theo Nghị định 56/NĐ-CP</t>
  </si>
  <si>
    <t xml:space="preserve"> Số xã, phường, thị trấn đạt tiêu chuẩn phù hợp với trẻ em</t>
  </si>
  <si>
    <t xml:space="preserve"> - Tỷ lệ xã, phường, thị trấn đạt tiêu chuẩn phù hợp với trẻ em</t>
  </si>
  <si>
    <t xml:space="preserve"> %o </t>
  </si>
  <si>
    <t>Vụ</t>
  </si>
  <si>
    <t xml:space="preserve"> - Tỷ lệ vụ bạo hành trẻ em được xử lý</t>
  </si>
  <si>
    <t>Trẻ em</t>
  </si>
  <si>
    <t>…….</t>
  </si>
  <si>
    <t>Tỷ lệ trẻ em dưới 5 tuổi suy dinh dưỡng thể thấp còi (chiều cao theo tuổi)</t>
  </si>
  <si>
    <t>&lt;15</t>
  </si>
  <si>
    <t>≥95</t>
  </si>
  <si>
    <t xml:space="preserve"> - Tổng số học sinh có mặt đầu năm học</t>
  </si>
  <si>
    <t>- Tỷ lệ huy động trẻ từ 3 tháng đến dưới 36 tháng tuổi ra lớp</t>
  </si>
  <si>
    <t>- Tỷ lệ huy động trẻ từ 3-5 tuổi ra lớp</t>
  </si>
  <si>
    <t>- Tỷ lệ huy động trẻ 5 tuổi ra lớp</t>
  </si>
  <si>
    <t>- Tỷ lệ học sinh 6 tuổi vào lớp 1</t>
  </si>
  <si>
    <t>- Tỷ lệ học sinh 6-10 tuổi học tiểu học</t>
  </si>
  <si>
    <t>- Tỷ lệ học sinh hoàn thành cấp tiểu học</t>
  </si>
  <si>
    <t>- Tỷ lệ học sinh 11-14 tuổi học THCS</t>
  </si>
  <si>
    <t>- Tỷ lệ học sinh tốt nghiệp THCS</t>
  </si>
  <si>
    <t>- Tỷ lệ học sinh 15 tuổi vào lớp 10</t>
  </si>
  <si>
    <t>- Tỷ lệ học sinh 15-18 tuổi học THPT và tương đương</t>
  </si>
  <si>
    <t>- Tỷ học sinh tốt nghiệp THPT</t>
  </si>
  <si>
    <t xml:space="preserve">Trường học </t>
  </si>
  <si>
    <t>5.1</t>
  </si>
  <si>
    <t>Số trường Mầm non</t>
  </si>
  <si>
    <t xml:space="preserve"> - Trường đạt chuẩn Quốc gia</t>
  </si>
  <si>
    <t xml:space="preserve"> Trường</t>
  </si>
  <si>
    <t xml:space="preserve"> - Tỷ lệ trường mầm non đạt chuẩn quốc gia</t>
  </si>
  <si>
    <t>- Trường đạt kiểm định chất lượng giáo dục</t>
  </si>
  <si>
    <t>Tỷ lệ trường đạt kiểm định chất lượng giáo dục</t>
  </si>
  <si>
    <t>5.2</t>
  </si>
  <si>
    <t>Số trường phổ thông</t>
  </si>
  <si>
    <t xml:space="preserve">Trong đó: </t>
  </si>
  <si>
    <t xml:space="preserve"> - Tổng số trường đạt chuẩn Quốc gia</t>
  </si>
  <si>
    <t xml:space="preserve"> - Tỷ lệ trường phổ thông đạt chuẩn quốc gia</t>
  </si>
  <si>
    <t xml:space="preserve"> Tỷ lệ học sinh dân tộc thiểu số cấp trung học được học tại các trường phổ thông dân tộc nội trú</t>
  </si>
  <si>
    <t xml:space="preserve"> + Trường Cao đẳng kinh tế</t>
  </si>
  <si>
    <t xml:space="preserve"> + Trường Cao đẳng Y tế</t>
  </si>
  <si>
    <t xml:space="preserve"> + Trường Cao đẳng nghề</t>
  </si>
  <si>
    <t xml:space="preserve"> - Đào tạo nghề cho người lao động</t>
  </si>
  <si>
    <t xml:space="preserve"> Người/năm</t>
  </si>
  <si>
    <t xml:space="preserve"> - Tỷ lệ lao động qua đào tạo từ 3 tháng trở lên (có văn bằng, chứng chỉ)</t>
  </si>
  <si>
    <t>KHOA HỌC VÀ CÔNG NGHỆ</t>
  </si>
  <si>
    <t>………..</t>
  </si>
  <si>
    <r>
      <t xml:space="preserve"> </t>
    </r>
    <r>
      <rPr>
        <b/>
        <i/>
        <sz val="12"/>
        <rFont val="Times New Roman"/>
        <family val="1"/>
      </rPr>
      <t>Ghi chú: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Các chỉ tiêu sự nghiệp giáo dục tăng so với giai đoạn 2016-2020 do bổ sung hệ thống chỉ tiêu phát triển trẻ thơ toàn diện theo Văn bản số 3824/UBND-KGVX ngày 25/12/2019 của UBND tỉnh và theo mục tiêu Nghị quyết Đại hội Đảng bộ tỉnh lần thứ XIV.</t>
    </r>
  </si>
  <si>
    <t>- Đào tạo nghề cho người lao động</t>
  </si>
  <si>
    <t xml:space="preserve"> - Tuyển mới cao đẳng chính quy</t>
  </si>
  <si>
    <t xml:space="preserve"> Tốc độ tăng tuyển mới cao đẳng chính quy</t>
  </si>
  <si>
    <t xml:space="preserve"> + Số lượt khách quốc tế  </t>
  </si>
  <si>
    <t>+ Số lượt khách du lịch nội địa</t>
  </si>
  <si>
    <t>Nghìn lượt</t>
  </si>
  <si>
    <t>- Số lượt khách du lịch đến Điện Biên</t>
  </si>
  <si>
    <t xml:space="preserve"> + Số lượt khách quốc tế </t>
  </si>
  <si>
    <t xml:space="preserve"> + Số lượt khách du lịch nội địa</t>
  </si>
  <si>
    <t xml:space="preserve">- Số lượt khách quốc tế đến Điện Biên </t>
  </si>
  <si>
    <t>- Tỷ lệ giá trị sản phẩm công nghệ cao</t>
  </si>
  <si>
    <t>- Tỷ lệ sáng chế đăng ký bảo hộ</t>
  </si>
  <si>
    <t xml:space="preserve"> Tỷ lệ đổi mới công nghệ</t>
  </si>
  <si>
    <t>Xuất/Nhập siêu</t>
  </si>
  <si>
    <t>Tỷ lệ xuất/nhập siêu so với tổng giá trị xuất khẩu hàng hóa</t>
  </si>
  <si>
    <t>Tổng mức bán lẻ hàng hóa và doanh thu dịch vụ tiêu dùng</t>
  </si>
  <si>
    <t>Giá trị sản xuất công nghiệp</t>
  </si>
  <si>
    <t>PHỤ LỤC A: TÌNH HÌNH THỰC HIỆN 5 NĂM GIAI ĐOẠN 2016-2020</t>
  </si>
  <si>
    <t>PHỤ LỤC B: KẾ HOẠCH 5 NĂM GIAI ĐOẠN 2021-2025</t>
  </si>
  <si>
    <t>Ha</t>
  </si>
  <si>
    <t>ha</t>
  </si>
  <si>
    <t xml:space="preserve"> Tấn</t>
  </si>
  <si>
    <t>&lt;50</t>
  </si>
  <si>
    <t>&lt;14</t>
  </si>
  <si>
    <t>- Tỷ lệ tăng dân số (năm cuối kỳ)</t>
  </si>
  <si>
    <t>Tỷ lệ trạm y tế xã, phường, thị trấn có bác sỹ làm việc</t>
  </si>
  <si>
    <t>Huyện Tuần Giáo</t>
  </si>
  <si>
    <t>BẢO VỆ VÀ CHĂM SÓC TRẺ EM</t>
  </si>
  <si>
    <t>Tốc độ tăng năng suất lao động xã hội (Theo giá so sánh)</t>
  </si>
  <si>
    <t xml:space="preserve">Trong đó:    </t>
  </si>
  <si>
    <t>45,27</t>
  </si>
  <si>
    <t>48,07</t>
  </si>
  <si>
    <t>4500 - 5000</t>
  </si>
  <si>
    <t>53,81</t>
  </si>
  <si>
    <t>62,0</t>
  </si>
  <si>
    <t>CHĂM SÓC VÀ BẢO VỆ TRẺ EM</t>
  </si>
  <si>
    <t xml:space="preserve"> Tổng số trẻ em có hoàn cảnh đặc biệt được chăm sóc </t>
  </si>
  <si>
    <t xml:space="preserve"> - Đá khai thác</t>
  </si>
  <si>
    <t>m3</t>
  </si>
  <si>
    <t>Triệu viên</t>
  </si>
  <si>
    <t xml:space="preserve"> - Nước máy sản xuất</t>
  </si>
  <si>
    <t>1000 m3</t>
  </si>
  <si>
    <t>Giá trị (giá hiện hành)</t>
  </si>
  <si>
    <t>Sản phẩm SX chủ yếu</t>
  </si>
  <si>
    <t xml:space="preserve"> Tỷ đồng </t>
  </si>
  <si>
    <t>Không Đạt</t>
  </si>
  <si>
    <t xml:space="preserve"> - Gạch các loại</t>
  </si>
  <si>
    <t>KẾ HOẠCH NGÀNH CÔNG NGHIỆP 5 NĂM 2021 - 2025</t>
  </si>
  <si>
    <t xml:space="preserve">Tổng sản phẩm trên địa bàn huyện (GRDP) </t>
  </si>
  <si>
    <t xml:space="preserve">Lượt người </t>
  </si>
  <si>
    <t>Tỷ lệ dân số tham gia bảo hiểm y tế</t>
  </si>
  <si>
    <t>KẾ HOẠCH GIÁO DỤC, ĐÀO TẠO VÀ KHOA HỌC CÔNG NGHỆ</t>
  </si>
  <si>
    <t xml:space="preserve">USD </t>
  </si>
  <si>
    <t>G</t>
  </si>
  <si>
    <t>MỘT SỐ CHỈ TIÊU CHỦ YẾU KẾ HOẠCH PHÁT TRIỂN KINH TẾ - XÃ HỘI 5 NĂM 2021-2025</t>
  </si>
  <si>
    <t>KẾ HOẠCH NGÀNH DỊCH VỤ 5 NĂM 2021 - 2025</t>
  </si>
  <si>
    <t>KẾ HOẠCH CÁC LĨNH VỰC XÃ HỘI 5 NĂM 2021 - 2025</t>
  </si>
  <si>
    <t>&lt;30</t>
  </si>
  <si>
    <t>≥96</t>
  </si>
  <si>
    <t>≥95,5</t>
  </si>
  <si>
    <t>&gt; 98</t>
  </si>
  <si>
    <t>Giá trị sản xuất</t>
  </si>
  <si>
    <t xml:space="preserve">Nghìn tỷ đồng </t>
  </si>
  <si>
    <t>Số TT</t>
  </si>
  <si>
    <t xml:space="preserve">Tổng sản phẩm trên địa bàn (GRDP) </t>
  </si>
  <si>
    <t>- Tỷ lệ trường đạt kiểm định chất lượng giáo dục</t>
  </si>
  <si>
    <r>
      <t xml:space="preserve">Trong đó: </t>
    </r>
    <r>
      <rPr>
        <sz val="13"/>
        <rFont val="Times New Roman"/>
        <family val="1"/>
      </rPr>
      <t>Số lao động là thành viên hợp tác xã</t>
    </r>
  </si>
  <si>
    <r>
      <t>Trong đó:</t>
    </r>
    <r>
      <rPr>
        <sz val="13"/>
        <rFont val="Times New Roman"/>
        <family val="1"/>
      </rPr>
      <t xml:space="preserve"> Số tổ hợp tác đăng ký chứng thực</t>
    </r>
  </si>
  <si>
    <r>
      <t>Trong đó:</t>
    </r>
    <r>
      <rPr>
        <sz val="13"/>
        <rFont val="Times New Roman"/>
        <family val="1"/>
      </rPr>
      <t xml:space="preserve"> Số thành viên của tổ hợp tác đăng ký chứng thực</t>
    </r>
  </si>
  <si>
    <t>Tổng số doanh nghiệp đăng ký thành lập (lũy kế)</t>
  </si>
  <si>
    <t>Số doanh nghiệp hoạt động trong nền kinh tế (không tính các doanh nghiệp đã giải thể)</t>
  </si>
  <si>
    <t>Số doanh nghiệp đăng ký mới</t>
  </si>
  <si>
    <t>Tổng số vốn đăng ký của doanh nghiệp thành lập mới</t>
  </si>
  <si>
    <t>Số doanh nghiệp hoàn tất thủ tục giải thể</t>
  </si>
  <si>
    <t>Liên hiệp HTX</t>
  </si>
  <si>
    <t>Tổng số lao động trong liên hiệp HTX</t>
  </si>
  <si>
    <t>Triệu đồng/LĐ</t>
  </si>
  <si>
    <t xml:space="preserve"> - Điện sản xuất</t>
  </si>
  <si>
    <t>Triệu kwh</t>
  </si>
  <si>
    <t>Ghi chú: Đây là sản lượng của Thủy điện Nậm Mức</t>
  </si>
  <si>
    <t>TH 2016</t>
  </si>
  <si>
    <t>TH 2017</t>
  </si>
  <si>
    <t>TH 2018</t>
  </si>
  <si>
    <t>TH 2019</t>
  </si>
  <si>
    <t>TH 2020</t>
  </si>
  <si>
    <t>Chi khác (chi nộp trả cấp trên, chi chuyển nguồn)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</si>
</sst>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_(* #,##0.0_);_(* \(#,##0.0\);_(* &quot;-&quot;??_);_(@_)"/>
    <numFmt numFmtId="175" formatCode="#,##0.0"/>
    <numFmt numFmtId="176" formatCode="#,##0.000"/>
    <numFmt numFmtId="177" formatCode="0.0"/>
    <numFmt numFmtId="178" formatCode="_(* #,##0_);_(* \(#,##0\);_(* &quot;-&quot;??_);_(@_)"/>
    <numFmt numFmtId="179" formatCode="0.000"/>
    <numFmt numFmtId="180" formatCode="#,##0\ &quot;€&quot;;[Red]\-#,##0\ &quot;€&quot;"/>
    <numFmt numFmtId="181" formatCode="&quot;\&quot;#,##0;[Red]&quot;\&quot;\-#,##0"/>
    <numFmt numFmtId="182" formatCode="&quot;\&quot;#,##0.00;[Red]&quot;\&quot;\-#,##0.00"/>
    <numFmt numFmtId="183" formatCode="\$#,##0\ ;\(\$#,##0\)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VND&quot;#,##0_);[Red]\(&quot;VND&quot;#,##0\)"/>
    <numFmt numFmtId="189" formatCode="#,##0;\(#,##0\)"/>
    <numFmt numFmtId="190" formatCode="\t0.00%"/>
    <numFmt numFmtId="191" formatCode="\t#\ ??/??"/>
    <numFmt numFmtId="192" formatCode="m/d"/>
    <numFmt numFmtId="193" formatCode="&quot;ß&quot;#,##0;\-&quot;&quot;\ß&quot;&quot;#,##0"/>
    <numFmt numFmtId="194" formatCode="#,##0.00\ &quot;F&quot;;[Red]\-#,##0.00\ &quot;F&quot;"/>
    <numFmt numFmtId="195" formatCode="_-* #,##0\ &quot;F&quot;_-;\-* #,##0\ &quot;F&quot;_-;_-* &quot;-&quot;\ &quot;F&quot;_-;_-@_-"/>
    <numFmt numFmtId="196" formatCode="#,##0\ &quot;F&quot;;[Red]\-#,##0\ &quot;F&quot;"/>
    <numFmt numFmtId="197" formatCode="#,##0.00\ &quot;F&quot;;\-#,##0.00\ &quot;F&quot;"/>
    <numFmt numFmtId="198" formatCode="#,##0.00000000"/>
    <numFmt numFmtId="199" formatCode="_(* #,##0.000_);_(* \(#,##0.000\);_(* &quot;-&quot;??_);_(@_)"/>
    <numFmt numFmtId="200" formatCode="_-* #,##0.0\ _₫_-;\-* #,##0.0\ _₫_-;_-* &quot;-&quot;?\ _₫_-;_-@_-"/>
    <numFmt numFmtId="201" formatCode="_(* #,##0.0000_);_(* \(#,##0.0000\);_(* &quot;-&quot;??_);_(@_)"/>
    <numFmt numFmtId="202" formatCode="_(* #,##0.000_);_(* \(#,##0.000\);_(* &quot;-&quot;???_);_(@_)"/>
    <numFmt numFmtId="203" formatCode="_(* #,##0.00000_);_(* \(#,##0.00000\);_(* &quot;-&quot;??_);_(@_)"/>
    <numFmt numFmtId="204" formatCode="_(* #,##0.0_);_(* \(#,##0.0\);_(* &quot;-&quot;_);_(@_)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_-* #,##0.000\ _₫_-;\-* #,##0.000\ _₫_-;_-* &quot;-&quot;???\ _₫_-;_-@_-"/>
    <numFmt numFmtId="211" formatCode="_-* #,##0.0000\ _₫_-;\-* #,##0.0000\ _₫_-;_-* &quot;-&quot;????\ _₫_-;_-@_-"/>
    <numFmt numFmtId="212" formatCode="_-* #,##0.000\ _₫_-;\-* #,##0.000\ _₫_-;_-* &quot;-&quot;????\ _₫_-;_-@_-"/>
    <numFmt numFmtId="213" formatCode="_-* #,##0.00\ _₫_-;\-* #,##0.00\ _₫_-;_-* &quot;-&quot;????\ _₫_-;_-@_-"/>
    <numFmt numFmtId="214" formatCode="_-* #,##0.0\ _₫_-;\-* #,##0.0\ _₫_-;_-* &quot;-&quot;????\ _₫_-;_-@_-"/>
    <numFmt numFmtId="215" formatCode="_-* #,##0.00000\ _₫_-;\-* #,##0.00000\ _₫_-;_-* &quot;-&quot;?????\ _₫_-;_-@_-"/>
    <numFmt numFmtId="216" formatCode="_(* #,##0.000000_);_(* \(#,##0.000000\);_(* &quot;-&quot;??_);_(@_)"/>
  </numFmts>
  <fonts count="123">
    <font>
      <sz val="10"/>
      <name val="Arial"/>
      <family val="0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2"/>
      <color indexed="8"/>
      <name val=".VnTimeH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sz val="12"/>
      <name val=".VnTime"/>
      <family val="2"/>
    </font>
    <font>
      <sz val="11"/>
      <name val=".VnTime"/>
      <family val="2"/>
    </font>
    <font>
      <sz val="12"/>
      <name val=".VnTime"/>
      <family val="2"/>
    </font>
    <font>
      <sz val="11"/>
      <name val="Times New Roman"/>
      <family val="1"/>
    </font>
    <font>
      <sz val="11"/>
      <color indexed="8"/>
      <name val=".VnTime"/>
      <family val="2"/>
    </font>
    <font>
      <sz val="8"/>
      <name val="Arial"/>
      <family val="2"/>
    </font>
    <font>
      <b/>
      <i/>
      <sz val="14"/>
      <color indexed="8"/>
      <name val=".VnTime"/>
      <family val="2"/>
    </font>
    <font>
      <b/>
      <sz val="12"/>
      <color indexed="8"/>
      <name val=".VnTime"/>
      <family val="2"/>
    </font>
    <font>
      <i/>
      <sz val="12"/>
      <color indexed="8"/>
      <name val=".VnTime"/>
      <family val="2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1"/>
      <name val=".VnTime"/>
      <family val="2"/>
    </font>
    <font>
      <b/>
      <sz val="13"/>
      <color indexed="8"/>
      <name val=".VnTime"/>
      <family val="2"/>
    </font>
    <font>
      <sz val="13"/>
      <color indexed="8"/>
      <name val=".VnTime"/>
      <family val="2"/>
    </font>
    <font>
      <i/>
      <sz val="13"/>
      <color indexed="8"/>
      <name val=".VnTime"/>
      <family val="2"/>
    </font>
    <font>
      <b/>
      <i/>
      <sz val="13"/>
      <color indexed="8"/>
      <name val=".VnTime"/>
      <family val="2"/>
    </font>
    <font>
      <i/>
      <sz val="11"/>
      <color indexed="8"/>
      <name val=".VnTime"/>
      <family val="2"/>
    </font>
    <font>
      <b/>
      <sz val="10"/>
      <color indexed="8"/>
      <name val=".VnTimeH"/>
      <family val="2"/>
    </font>
    <font>
      <vertAlign val="superscript"/>
      <sz val="12"/>
      <name val="Times New Roman"/>
      <family val="1"/>
    </font>
    <font>
      <b/>
      <sz val="10"/>
      <color indexed="8"/>
      <name val=".VnTime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.VnTimeH"/>
      <family val="2"/>
    </font>
    <font>
      <sz val="12"/>
      <name val="¹UAAA¼"/>
      <family val="3"/>
    </font>
    <font>
      <sz val="13"/>
      <name val=".VnTime"/>
      <family val="2"/>
    </font>
    <font>
      <b/>
      <sz val="12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i/>
      <vertAlign val="superscript"/>
      <sz val="12"/>
      <name val="Times New Roman"/>
      <family val="1"/>
    </font>
    <font>
      <b/>
      <sz val="18"/>
      <name val="Arial"/>
      <family val="2"/>
    </font>
    <font>
      <sz val="7"/>
      <name val="Small Fonts"/>
      <family val="2"/>
    </font>
    <font>
      <u val="single"/>
      <sz val="12"/>
      <name val="Times New Roman"/>
      <family val="1"/>
    </font>
    <font>
      <i/>
      <sz val="13"/>
      <name val="Times New Roman"/>
      <family val="1"/>
    </font>
    <font>
      <b/>
      <sz val="18"/>
      <name val="Times New Roman"/>
      <family val="1"/>
    </font>
    <font>
      <sz val="9"/>
      <name val="Tahoma"/>
      <family val="2"/>
    </font>
    <font>
      <sz val="10"/>
      <name val="Helv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20"/>
      <name val="Tahoma"/>
      <family val="2"/>
    </font>
    <font>
      <b/>
      <sz val="9"/>
      <name val="Tahoma"/>
      <family val="2"/>
    </font>
    <font>
      <sz val="10"/>
      <color indexed="8"/>
      <name val="MS Sans Serif"/>
      <family val="2"/>
    </font>
    <font>
      <b/>
      <sz val="14"/>
      <name val="Tahoma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4"/>
      <name val="Cambria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0" borderId="0">
      <alignment/>
      <protection/>
    </xf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178" fontId="39" fillId="0" borderId="1" applyNumberFormat="0" applyFont="0" applyBorder="0" applyAlignment="0">
      <protection/>
    </xf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07" fillId="25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108" fillId="26" borderId="2" applyNumberFormat="0" applyAlignment="0" applyProtection="0"/>
    <xf numFmtId="0" fontId="109" fillId="2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19" fillId="0" borderId="0">
      <alignment/>
      <protection/>
    </xf>
    <xf numFmtId="43" fontId="53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0" fontId="0" fillId="0" borderId="0">
      <alignment/>
      <protection/>
    </xf>
    <xf numFmtId="0" fontId="0" fillId="0" borderId="0" applyFont="0" applyFill="0" applyBorder="0" applyAlignment="0" applyProtection="0"/>
    <xf numFmtId="191" fontId="0" fillId="0" borderId="0">
      <alignment/>
      <protection/>
    </xf>
    <xf numFmtId="0" fontId="11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1" fillId="28" borderId="0" applyNumberFormat="0" applyBorder="0" applyAlignment="0" applyProtection="0"/>
    <xf numFmtId="38" fontId="11" fillId="29" borderId="0" applyNumberFormat="0" applyBorder="0" applyAlignment="0" applyProtection="0"/>
    <xf numFmtId="0" fontId="42" fillId="0" borderId="4" applyNumberFormat="0" applyAlignment="0" applyProtection="0"/>
    <xf numFmtId="0" fontId="42" fillId="0" borderId="5">
      <alignment horizontal="left" vertical="center"/>
      <protection/>
    </xf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4" fillId="0" borderId="8" applyNumberFormat="0" applyFill="0" applyAlignment="0" applyProtection="0"/>
    <xf numFmtId="0" fontId="114" fillId="0" borderId="0" applyNumberFormat="0" applyFill="0" applyBorder="0" applyAlignment="0" applyProtection="0"/>
    <xf numFmtId="0" fontId="69" fillId="0" borderId="0" applyProtection="0">
      <alignment/>
    </xf>
    <xf numFmtId="0" fontId="42" fillId="0" borderId="0" applyProtection="0">
      <alignment/>
    </xf>
    <xf numFmtId="0" fontId="33" fillId="0" borderId="0" applyNumberFormat="0" applyFill="0" applyBorder="0" applyAlignment="0" applyProtection="0"/>
    <xf numFmtId="0" fontId="115" fillId="30" borderId="2" applyNumberFormat="0" applyAlignment="0" applyProtection="0"/>
    <xf numFmtId="10" fontId="11" fillId="31" borderId="9" applyNumberFormat="0" applyBorder="0" applyAlignment="0" applyProtection="0"/>
    <xf numFmtId="0" fontId="116" fillId="0" borderId="10" applyNumberFormat="0" applyFill="0" applyAlignment="0" applyProtection="0"/>
    <xf numFmtId="3" fontId="43" fillId="0" borderId="11" applyNumberFormat="0" applyAlignment="0">
      <protection/>
    </xf>
    <xf numFmtId="3" fontId="44" fillId="0" borderId="11" applyNumberFormat="0" applyAlignment="0">
      <protection/>
    </xf>
    <xf numFmtId="3" fontId="45" fillId="0" borderId="11" applyNumberFormat="0" applyAlignment="0"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0" borderId="0" applyNumberFormat="0" applyFont="0" applyFill="0" applyAlignment="0">
      <protection/>
    </xf>
    <xf numFmtId="0" fontId="117" fillId="32" borderId="0" applyNumberFormat="0" applyBorder="0" applyAlignment="0" applyProtection="0"/>
    <xf numFmtId="0" fontId="19" fillId="0" borderId="0">
      <alignment/>
      <protection/>
    </xf>
    <xf numFmtId="37" fontId="70" fillId="0" borderId="0">
      <alignment/>
      <protection/>
    </xf>
    <xf numFmtId="188" fontId="47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20" fillId="0" borderId="0">
      <alignment/>
      <protection/>
    </xf>
    <xf numFmtId="0" fontId="0" fillId="33" borderId="12" applyNumberFormat="0" applyFont="0" applyAlignment="0" applyProtection="0"/>
    <xf numFmtId="0" fontId="118" fillId="26" borderId="1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0">
      <alignment/>
      <protection/>
    </xf>
    <xf numFmtId="194" fontId="41" fillId="0" borderId="14">
      <alignment horizontal="right" vertical="center"/>
      <protection/>
    </xf>
    <xf numFmtId="195" fontId="41" fillId="0" borderId="14">
      <alignment horizontal="center"/>
      <protection/>
    </xf>
    <xf numFmtId="0" fontId="119" fillId="0" borderId="0" applyNumberFormat="0" applyFill="0" applyBorder="0" applyAlignment="0" applyProtection="0"/>
    <xf numFmtId="3" fontId="48" fillId="0" borderId="11" applyNumberFormat="0" applyAlignment="0">
      <protection/>
    </xf>
    <xf numFmtId="3" fontId="4" fillId="0" borderId="15" applyNumberFormat="0" applyAlignment="0">
      <protection/>
    </xf>
    <xf numFmtId="0" fontId="120" fillId="0" borderId="16" applyNumberFormat="0" applyFill="0" applyAlignment="0" applyProtection="0"/>
    <xf numFmtId="196" fontId="41" fillId="0" borderId="0">
      <alignment/>
      <protection/>
    </xf>
    <xf numFmtId="197" fontId="41" fillId="0" borderId="9">
      <alignment/>
      <protection/>
    </xf>
    <xf numFmtId="0" fontId="1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1" fillId="0" borderId="0">
      <alignment vertical="center"/>
      <protection/>
    </xf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2" fillId="0" borderId="0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54" fillId="0" borderId="0">
      <alignment/>
      <protection/>
    </xf>
    <xf numFmtId="0" fontId="46" fillId="0" borderId="0">
      <alignment/>
      <protection/>
    </xf>
    <xf numFmtId="172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180" fontId="55" fillId="0" borderId="0" applyFont="0" applyFill="0" applyBorder="0" applyAlignment="0" applyProtection="0"/>
    <xf numFmtId="187" fontId="53" fillId="0" borderId="0" applyFont="0" applyFill="0" applyBorder="0" applyAlignment="0" applyProtection="0"/>
  </cellStyleXfs>
  <cellXfs count="10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74" fontId="1" fillId="0" borderId="15" xfId="5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175" fontId="14" fillId="0" borderId="15" xfId="5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175" fontId="1" fillId="0" borderId="15" xfId="50" applyNumberFormat="1" applyFont="1" applyBorder="1" applyAlignment="1">
      <alignment horizontal="center" vertical="center"/>
    </xf>
    <xf numFmtId="3" fontId="13" fillId="0" borderId="17" xfId="50" applyNumberFormat="1" applyFont="1" applyBorder="1" applyAlignment="1">
      <alignment horizontal="center" vertical="center"/>
    </xf>
    <xf numFmtId="3" fontId="1" fillId="0" borderId="15" xfId="5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176" fontId="1" fillId="0" borderId="15" xfId="5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15" xfId="5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Border="1" applyAlignment="1" quotePrefix="1">
      <alignment vertical="center" wrapText="1"/>
    </xf>
    <xf numFmtId="0" fontId="1" fillId="0" borderId="0" xfId="0" applyFont="1" applyAlignment="1">
      <alignment horizontal="center" vertical="center"/>
    </xf>
    <xf numFmtId="3" fontId="14" fillId="0" borderId="15" xfId="5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4" fontId="10" fillId="0" borderId="15" xfId="50" applyNumberFormat="1" applyFont="1" applyBorder="1" applyAlignment="1">
      <alignment horizontal="center" vertical="center" wrapText="1"/>
    </xf>
    <xf numFmtId="4" fontId="14" fillId="0" borderId="15" xfId="5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175" fontId="1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177" fontId="21" fillId="0" borderId="15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175" fontId="21" fillId="0" borderId="15" xfId="0" applyNumberFormat="1" applyFont="1" applyBorder="1" applyAlignment="1">
      <alignment horizontal="center" vertical="center" wrapText="1"/>
    </xf>
    <xf numFmtId="177" fontId="21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 quotePrefix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22" xfId="0" applyFont="1" applyFill="1" applyBorder="1" applyAlignment="1">
      <alignment vertical="center"/>
    </xf>
    <xf numFmtId="4" fontId="21" fillId="0" borderId="15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75" fontId="21" fillId="0" borderId="15" xfId="0" applyNumberFormat="1" applyFont="1" applyFill="1" applyBorder="1" applyAlignment="1">
      <alignment horizontal="center" vertical="center" wrapText="1"/>
    </xf>
    <xf numFmtId="176" fontId="2" fillId="0" borderId="15" xfId="50" applyNumberFormat="1" applyFont="1" applyBorder="1" applyAlignment="1">
      <alignment horizontal="center" vertical="center"/>
    </xf>
    <xf numFmtId="176" fontId="2" fillId="0" borderId="15" xfId="50" applyNumberFormat="1" applyFont="1" applyFill="1" applyBorder="1" applyAlignment="1">
      <alignment horizontal="center" vertical="center"/>
    </xf>
    <xf numFmtId="176" fontId="13" fillId="0" borderId="15" xfId="50" applyNumberFormat="1" applyFont="1" applyBorder="1" applyAlignment="1">
      <alignment horizontal="center" vertical="center"/>
    </xf>
    <xf numFmtId="3" fontId="2" fillId="0" borderId="15" xfId="50" applyNumberFormat="1" applyFont="1" applyBorder="1" applyAlignment="1">
      <alignment horizontal="center" vertical="center"/>
    </xf>
    <xf numFmtId="176" fontId="1" fillId="0" borderId="15" xfId="5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 quotePrefix="1">
      <alignment vertical="center" wrapText="1"/>
    </xf>
    <xf numFmtId="0" fontId="14" fillId="0" borderId="22" xfId="0" applyFont="1" applyBorder="1" applyAlignment="1" quotePrefix="1">
      <alignment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 wrapText="1"/>
    </xf>
    <xf numFmtId="175" fontId="23" fillId="0" borderId="15" xfId="50" applyNumberFormat="1" applyFont="1" applyBorder="1" applyAlignment="1">
      <alignment horizontal="center" vertical="center"/>
    </xf>
    <xf numFmtId="3" fontId="2" fillId="0" borderId="15" xfId="50" applyNumberFormat="1" applyFont="1" applyFill="1" applyBorder="1" applyAlignment="1">
      <alignment horizontal="center" vertical="center"/>
    </xf>
    <xf numFmtId="9" fontId="1" fillId="0" borderId="18" xfId="122" applyFont="1" applyBorder="1" applyAlignment="1">
      <alignment horizontal="center" vertical="center"/>
    </xf>
    <xf numFmtId="10" fontId="1" fillId="0" borderId="0" xfId="122" applyNumberFormat="1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3" fontId="25" fillId="0" borderId="15" xfId="50" applyNumberFormat="1" applyFont="1" applyBorder="1" applyAlignment="1">
      <alignment horizontal="center" vertical="center"/>
    </xf>
    <xf numFmtId="176" fontId="24" fillId="0" borderId="15" xfId="50" applyNumberFormat="1" applyFont="1" applyBorder="1" applyAlignment="1">
      <alignment horizontal="center" vertical="center"/>
    </xf>
    <xf numFmtId="4" fontId="25" fillId="0" borderId="15" xfId="5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15" xfId="0" applyFont="1" applyBorder="1" applyAlignment="1" quotePrefix="1">
      <alignment horizontal="left" vertical="center" wrapText="1"/>
    </xf>
    <xf numFmtId="0" fontId="25" fillId="0" borderId="15" xfId="0" applyFont="1" applyBorder="1" applyAlignment="1" quotePrefix="1">
      <alignment horizontal="left" vertical="center" wrapText="1"/>
    </xf>
    <xf numFmtId="176" fontId="25" fillId="0" borderId="15" xfId="5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75" fontId="25" fillId="0" borderId="15" xfId="50" applyNumberFormat="1" applyFont="1" applyBorder="1" applyAlignment="1">
      <alignment horizontal="center" vertical="center"/>
    </xf>
    <xf numFmtId="0" fontId="2" fillId="0" borderId="15" xfId="0" applyFont="1" applyBorder="1" applyAlignment="1" quotePrefix="1">
      <alignment vertical="center" wrapText="1"/>
    </xf>
    <xf numFmtId="0" fontId="14" fillId="0" borderId="15" xfId="0" applyFont="1" applyBorder="1" applyAlignment="1">
      <alignment horizontal="left" vertical="center" wrapText="1"/>
    </xf>
    <xf numFmtId="176" fontId="14" fillId="0" borderId="15" xfId="5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176" fontId="14" fillId="0" borderId="15" xfId="50" applyNumberFormat="1" applyFont="1" applyFill="1" applyBorder="1" applyAlignment="1">
      <alignment horizontal="center" vertical="center"/>
    </xf>
    <xf numFmtId="177" fontId="21" fillId="34" borderId="15" xfId="0" applyNumberFormat="1" applyFont="1" applyFill="1" applyBorder="1" applyAlignment="1">
      <alignment horizontal="center" vertical="center" wrapText="1"/>
    </xf>
    <xf numFmtId="3" fontId="1" fillId="0" borderId="23" xfId="50" applyNumberFormat="1" applyFont="1" applyBorder="1" applyAlignment="1">
      <alignment horizontal="center" vertical="center"/>
    </xf>
    <xf numFmtId="176" fontId="2" fillId="0" borderId="24" xfId="50" applyNumberFormat="1" applyFont="1" applyFill="1" applyBorder="1" applyAlignment="1">
      <alignment horizontal="center" vertical="center"/>
    </xf>
    <xf numFmtId="175" fontId="25" fillId="0" borderId="23" xfId="50" applyNumberFormat="1" applyFont="1" applyBorder="1" applyAlignment="1">
      <alignment horizontal="center" vertical="center"/>
    </xf>
    <xf numFmtId="176" fontId="25" fillId="0" borderId="23" xfId="50" applyNumberFormat="1" applyFont="1" applyBorder="1" applyAlignment="1">
      <alignment horizontal="center" vertical="center"/>
    </xf>
    <xf numFmtId="176" fontId="2" fillId="0" borderId="23" xfId="50" applyNumberFormat="1" applyFont="1" applyFill="1" applyBorder="1" applyAlignment="1">
      <alignment horizontal="center" vertical="center"/>
    </xf>
    <xf numFmtId="4" fontId="25" fillId="0" borderId="23" xfId="50" applyNumberFormat="1" applyFont="1" applyBorder="1" applyAlignment="1">
      <alignment horizontal="center" vertical="center"/>
    </xf>
    <xf numFmtId="175" fontId="2" fillId="0" borderId="23" xfId="50" applyNumberFormat="1" applyFont="1" applyBorder="1" applyAlignment="1">
      <alignment horizontal="center" vertical="center"/>
    </xf>
    <xf numFmtId="4" fontId="14" fillId="0" borderId="23" xfId="50" applyNumberFormat="1" applyFont="1" applyBorder="1" applyAlignment="1">
      <alignment horizontal="center" vertical="center"/>
    </xf>
    <xf numFmtId="3" fontId="14" fillId="0" borderId="23" xfId="50" applyNumberFormat="1" applyFont="1" applyBorder="1" applyAlignment="1">
      <alignment horizontal="center" vertical="center"/>
    </xf>
    <xf numFmtId="175" fontId="1" fillId="0" borderId="23" xfId="50" applyNumberFormat="1" applyFont="1" applyBorder="1" applyAlignment="1">
      <alignment horizontal="center" vertical="center"/>
    </xf>
    <xf numFmtId="176" fontId="1" fillId="0" borderId="23" xfId="50" applyNumberFormat="1" applyFont="1" applyBorder="1" applyAlignment="1">
      <alignment horizontal="center" vertical="center"/>
    </xf>
    <xf numFmtId="175" fontId="14" fillId="0" borderId="23" xfId="50" applyNumberFormat="1" applyFont="1" applyBorder="1" applyAlignment="1">
      <alignment horizontal="center" vertical="center"/>
    </xf>
    <xf numFmtId="175" fontId="1" fillId="0" borderId="25" xfId="0" applyNumberFormat="1" applyFont="1" applyBorder="1" applyAlignment="1">
      <alignment horizontal="center" vertical="center"/>
    </xf>
    <xf numFmtId="176" fontId="27" fillId="0" borderId="23" xfId="50" applyNumberFormat="1" applyFont="1" applyBorder="1" applyAlignment="1">
      <alignment horizontal="center" vertical="center"/>
    </xf>
    <xf numFmtId="174" fontId="28" fillId="0" borderId="15" xfId="50" applyNumberFormat="1" applyFont="1" applyBorder="1" applyAlignment="1">
      <alignment horizontal="center" vertical="center" wrapText="1"/>
    </xf>
    <xf numFmtId="179" fontId="21" fillId="0" borderId="0" xfId="0" applyNumberFormat="1" applyFont="1" applyAlignment="1">
      <alignment vertical="center"/>
    </xf>
    <xf numFmtId="1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77" fontId="21" fillId="0" borderId="21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vertical="center"/>
    </xf>
    <xf numFmtId="10" fontId="25" fillId="0" borderId="0" xfId="0" applyNumberFormat="1" applyFont="1" applyAlignment="1">
      <alignment vertical="center"/>
    </xf>
    <xf numFmtId="3" fontId="13" fillId="0" borderId="21" xfId="50" applyNumberFormat="1" applyFont="1" applyBorder="1" applyAlignment="1">
      <alignment horizontal="center" vertical="center"/>
    </xf>
    <xf numFmtId="175" fontId="23" fillId="0" borderId="23" xfId="50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3" fontId="1" fillId="0" borderId="17" xfId="5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11" fillId="28" borderId="9" xfId="79" applyBorder="1" applyAlignment="1">
      <alignment/>
    </xf>
    <xf numFmtId="0" fontId="107" fillId="25" borderId="9" xfId="45" applyBorder="1" applyAlignment="1">
      <alignment/>
    </xf>
    <xf numFmtId="0" fontId="10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9" fontId="0" fillId="0" borderId="9" xfId="0" applyNumberFormat="1" applyBorder="1" applyAlignment="1">
      <alignment/>
    </xf>
    <xf numFmtId="4" fontId="7" fillId="0" borderId="9" xfId="5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17" fillId="32" borderId="0" xfId="99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77" fontId="58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16" fillId="0" borderId="0" xfId="119" applyFont="1" applyFill="1" applyBorder="1" applyAlignment="1">
      <alignment horizontal="center" vertical="center" wrapText="1"/>
      <protection/>
    </xf>
    <xf numFmtId="0" fontId="36" fillId="0" borderId="0" xfId="119" applyFont="1" applyFill="1" applyBorder="1" applyAlignment="1">
      <alignment horizontal="center" vertical="center" wrapText="1"/>
      <protection/>
    </xf>
    <xf numFmtId="0" fontId="16" fillId="0" borderId="9" xfId="119" applyFont="1" applyFill="1" applyBorder="1" applyAlignment="1">
      <alignment horizontal="center" vertical="center" wrapText="1"/>
      <protection/>
    </xf>
    <xf numFmtId="0" fontId="16" fillId="0" borderId="17" xfId="119" applyFont="1" applyFill="1" applyBorder="1" applyAlignment="1">
      <alignment vertical="center" wrapText="1"/>
      <protection/>
    </xf>
    <xf numFmtId="3" fontId="20" fillId="0" borderId="17" xfId="119" applyNumberFormat="1" applyFont="1" applyFill="1" applyBorder="1" applyAlignment="1">
      <alignment horizontal="center" vertical="center" wrapText="1"/>
      <protection/>
    </xf>
    <xf numFmtId="0" fontId="20" fillId="0" borderId="17" xfId="119" applyFont="1" applyFill="1" applyBorder="1" applyAlignment="1">
      <alignment horizontal="center" vertical="center" wrapText="1"/>
      <protection/>
    </xf>
    <xf numFmtId="3" fontId="20" fillId="0" borderId="17" xfId="119" applyNumberFormat="1" applyFont="1" applyFill="1" applyBorder="1" applyAlignment="1">
      <alignment horizontal="center" vertical="center"/>
      <protection/>
    </xf>
    <xf numFmtId="0" fontId="16" fillId="0" borderId="0" xfId="119" applyFont="1" applyFill="1" applyAlignment="1">
      <alignment vertical="center"/>
      <protection/>
    </xf>
    <xf numFmtId="3" fontId="20" fillId="0" borderId="15" xfId="119" applyNumberFormat="1" applyFont="1" applyFill="1" applyBorder="1" applyAlignment="1">
      <alignment horizontal="center" vertical="center" wrapText="1"/>
      <protection/>
    </xf>
    <xf numFmtId="0" fontId="16" fillId="0" borderId="15" xfId="119" applyFont="1" applyFill="1" applyBorder="1" applyAlignment="1">
      <alignment vertical="center" wrapText="1"/>
      <protection/>
    </xf>
    <xf numFmtId="0" fontId="16" fillId="0" borderId="15" xfId="119" applyFont="1" applyFill="1" applyBorder="1" applyAlignment="1">
      <alignment horizontal="center" vertical="center" wrapText="1"/>
      <protection/>
    </xf>
    <xf numFmtId="3" fontId="20" fillId="0" borderId="15" xfId="119" applyNumberFormat="1" applyFont="1" applyFill="1" applyBorder="1" applyAlignment="1">
      <alignment horizontal="center" vertical="center"/>
      <protection/>
    </xf>
    <xf numFmtId="0" fontId="38" fillId="0" borderId="15" xfId="119" applyFont="1" applyFill="1" applyBorder="1" applyAlignment="1">
      <alignment vertical="center" wrapText="1"/>
      <protection/>
    </xf>
    <xf numFmtId="0" fontId="38" fillId="0" borderId="15" xfId="119" applyFont="1" applyFill="1" applyBorder="1" applyAlignment="1">
      <alignment horizontal="center" vertical="center" wrapText="1"/>
      <protection/>
    </xf>
    <xf numFmtId="0" fontId="20" fillId="0" borderId="0" xfId="119" applyFont="1" applyFill="1">
      <alignment/>
      <protection/>
    </xf>
    <xf numFmtId="0" fontId="20" fillId="0" borderId="9" xfId="119" applyFont="1" applyFill="1" applyBorder="1" applyAlignment="1">
      <alignment horizontal="center" vertical="center" wrapText="1"/>
      <protection/>
    </xf>
    <xf numFmtId="0" fontId="20" fillId="0" borderId="15" xfId="119" applyFont="1" applyFill="1" applyBorder="1" applyAlignment="1">
      <alignment vertical="center" wrapText="1"/>
      <protection/>
    </xf>
    <xf numFmtId="0" fontId="20" fillId="0" borderId="15" xfId="119" applyFont="1" applyFill="1" applyBorder="1" applyAlignment="1">
      <alignment horizontal="center" vertical="center" wrapText="1"/>
      <protection/>
    </xf>
    <xf numFmtId="0" fontId="20" fillId="0" borderId="0" xfId="119" applyFont="1" applyFill="1" applyAlignment="1">
      <alignment vertical="center"/>
      <protection/>
    </xf>
    <xf numFmtId="3" fontId="59" fillId="0" borderId="15" xfId="119" applyNumberFormat="1" applyFont="1" applyFill="1" applyBorder="1" applyAlignment="1">
      <alignment horizontal="center" vertical="center"/>
      <protection/>
    </xf>
    <xf numFmtId="3" fontId="16" fillId="0" borderId="15" xfId="119" applyNumberFormat="1" applyFont="1" applyFill="1" applyBorder="1" applyAlignment="1">
      <alignment horizontal="center" vertical="center"/>
      <protection/>
    </xf>
    <xf numFmtId="0" fontId="20" fillId="0" borderId="18" xfId="119" applyFont="1" applyFill="1" applyBorder="1">
      <alignment/>
      <protection/>
    </xf>
    <xf numFmtId="0" fontId="6" fillId="0" borderId="9" xfId="0" applyFont="1" applyFill="1" applyBorder="1" applyAlignment="1">
      <alignment horizontal="center" vertical="center" wrapText="1"/>
    </xf>
    <xf numFmtId="0" fontId="20" fillId="35" borderId="26" xfId="119" applyFont="1" applyFill="1" applyBorder="1" applyAlignment="1">
      <alignment horizontal="center" vertical="center" wrapText="1"/>
      <protection/>
    </xf>
    <xf numFmtId="0" fontId="16" fillId="35" borderId="26" xfId="119" applyFont="1" applyFill="1" applyBorder="1" applyAlignment="1">
      <alignment horizontal="center" vertical="center" wrapText="1"/>
      <protection/>
    </xf>
    <xf numFmtId="0" fontId="6" fillId="35" borderId="26" xfId="0" applyFont="1" applyFill="1" applyBorder="1" applyAlignment="1">
      <alignment horizontal="center" vertical="center" wrapText="1"/>
    </xf>
    <xf numFmtId="0" fontId="20" fillId="35" borderId="0" xfId="119" applyFont="1" applyFill="1">
      <alignment/>
      <protection/>
    </xf>
    <xf numFmtId="0" fontId="38" fillId="0" borderId="18" xfId="119" applyFont="1" applyFill="1" applyBorder="1" applyAlignment="1">
      <alignment vertical="center" wrapText="1"/>
      <protection/>
    </xf>
    <xf numFmtId="3" fontId="20" fillId="0" borderId="18" xfId="119" applyNumberFormat="1" applyFont="1" applyFill="1" applyBorder="1" applyAlignment="1">
      <alignment horizontal="center" vertical="center"/>
      <protection/>
    </xf>
    <xf numFmtId="0" fontId="16" fillId="0" borderId="18" xfId="119" applyFont="1" applyFill="1" applyBorder="1" applyAlignment="1">
      <alignment horizontal="center" vertical="center" wrapText="1"/>
      <protection/>
    </xf>
    <xf numFmtId="3" fontId="16" fillId="0" borderId="18" xfId="119" applyNumberFormat="1" applyFont="1" applyFill="1" applyBorder="1" applyAlignment="1">
      <alignment horizontal="center" vertical="center"/>
      <protection/>
    </xf>
    <xf numFmtId="0" fontId="16" fillId="35" borderId="0" xfId="119" applyFont="1" applyFill="1">
      <alignment/>
      <protection/>
    </xf>
    <xf numFmtId="0" fontId="35" fillId="0" borderId="0" xfId="119" applyFont="1" applyFill="1" applyAlignment="1">
      <alignment horizontal="right" vertical="center"/>
      <protection/>
    </xf>
    <xf numFmtId="3" fontId="20" fillId="0" borderId="23" xfId="119" applyNumberFormat="1" applyFont="1" applyFill="1" applyBorder="1" applyAlignment="1">
      <alignment horizontal="center" vertical="center" wrapText="1"/>
      <protection/>
    </xf>
    <xf numFmtId="3" fontId="20" fillId="0" borderId="23" xfId="119" applyNumberFormat="1" applyFont="1" applyFill="1" applyBorder="1" applyAlignment="1">
      <alignment horizontal="center" vertical="center"/>
      <protection/>
    </xf>
    <xf numFmtId="0" fontId="16" fillId="35" borderId="11" xfId="119" applyFont="1" applyFill="1" applyBorder="1" applyAlignment="1">
      <alignment horizontal="center" vertical="center" wrapText="1"/>
      <protection/>
    </xf>
    <xf numFmtId="3" fontId="20" fillId="0" borderId="27" xfId="119" applyNumberFormat="1" applyFont="1" applyFill="1" applyBorder="1" applyAlignment="1">
      <alignment horizontal="center" vertical="center" wrapText="1"/>
      <protection/>
    </xf>
    <xf numFmtId="0" fontId="20" fillId="0" borderId="27" xfId="119" applyFont="1" applyFill="1" applyBorder="1" applyAlignment="1">
      <alignment horizontal="center" vertical="center" wrapText="1"/>
      <protection/>
    </xf>
    <xf numFmtId="3" fontId="20" fillId="0" borderId="27" xfId="119" applyNumberFormat="1" applyFont="1" applyFill="1" applyBorder="1" applyAlignment="1">
      <alignment horizontal="center" vertical="center"/>
      <protection/>
    </xf>
    <xf numFmtId="3" fontId="20" fillId="0" borderId="28" xfId="119" applyNumberFormat="1" applyFont="1" applyFill="1" applyBorder="1" applyAlignment="1">
      <alignment horizontal="center" vertical="center" wrapText="1"/>
      <protection/>
    </xf>
    <xf numFmtId="3" fontId="20" fillId="0" borderId="29" xfId="119" applyNumberFormat="1" applyFont="1" applyFill="1" applyBorder="1" applyAlignment="1">
      <alignment horizontal="center" vertical="center" wrapText="1"/>
      <protection/>
    </xf>
    <xf numFmtId="3" fontId="20" fillId="0" borderId="29" xfId="119" applyNumberFormat="1" applyFont="1" applyFill="1" applyBorder="1" applyAlignment="1">
      <alignment horizontal="center" vertical="center"/>
      <protection/>
    </xf>
    <xf numFmtId="3" fontId="20" fillId="0" borderId="30" xfId="119" applyNumberFormat="1" applyFont="1" applyFill="1" applyBorder="1" applyAlignment="1">
      <alignment horizontal="center" vertical="center"/>
      <protection/>
    </xf>
    <xf numFmtId="3" fontId="20" fillId="0" borderId="28" xfId="119" applyNumberFormat="1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center" vertical="center" wrapText="1"/>
    </xf>
    <xf numFmtId="3" fontId="20" fillId="0" borderId="31" xfId="119" applyNumberFormat="1" applyFont="1" applyFill="1" applyBorder="1" applyAlignment="1">
      <alignment horizontal="center" vertical="center"/>
      <protection/>
    </xf>
    <xf numFmtId="0" fontId="16" fillId="0" borderId="28" xfId="119" applyFont="1" applyFill="1" applyBorder="1" applyAlignment="1">
      <alignment horizontal="center" vertical="center"/>
      <protection/>
    </xf>
    <xf numFmtId="0" fontId="16" fillId="0" borderId="29" xfId="119" applyFont="1" applyFill="1" applyBorder="1" applyAlignment="1">
      <alignment horizontal="center" vertical="center"/>
      <protection/>
    </xf>
    <xf numFmtId="3" fontId="20" fillId="0" borderId="23" xfId="119" applyNumberFormat="1" applyFont="1" applyFill="1" applyBorder="1" applyAlignment="1">
      <alignment vertical="center"/>
      <protection/>
    </xf>
    <xf numFmtId="3" fontId="20" fillId="0" borderId="30" xfId="119" applyNumberFormat="1" applyFont="1" applyFill="1" applyBorder="1" applyAlignment="1">
      <alignment horizontal="center" vertical="center" wrapText="1"/>
      <protection/>
    </xf>
    <xf numFmtId="0" fontId="16" fillId="0" borderId="30" xfId="119" applyFont="1" applyFill="1" applyBorder="1" applyAlignment="1">
      <alignment horizontal="center" vertical="center"/>
      <protection/>
    </xf>
    <xf numFmtId="0" fontId="35" fillId="0" borderId="0" xfId="119" applyFont="1" applyFill="1" applyAlignment="1">
      <alignment vertical="center"/>
      <protection/>
    </xf>
    <xf numFmtId="3" fontId="20" fillId="0" borderId="32" xfId="119" applyNumberFormat="1" applyFont="1" applyFill="1" applyBorder="1" applyAlignment="1">
      <alignment horizontal="right" vertical="center"/>
      <protection/>
    </xf>
    <xf numFmtId="3" fontId="20" fillId="0" borderId="27" xfId="119" applyNumberFormat="1" applyFont="1" applyFill="1" applyBorder="1" applyAlignment="1">
      <alignment horizontal="right" vertical="center"/>
      <protection/>
    </xf>
    <xf numFmtId="3" fontId="20" fillId="0" borderId="32" xfId="119" applyNumberFormat="1" applyFont="1" applyFill="1" applyBorder="1" applyAlignment="1">
      <alignment horizontal="right" vertical="center" wrapText="1"/>
      <protection/>
    </xf>
    <xf numFmtId="3" fontId="20" fillId="0" borderId="27" xfId="119" applyNumberFormat="1" applyFont="1" applyFill="1" applyBorder="1" applyAlignment="1">
      <alignment horizontal="right" vertical="center" wrapText="1"/>
      <protection/>
    </xf>
    <xf numFmtId="3" fontId="20" fillId="0" borderId="33" xfId="119" applyNumberFormat="1" applyFont="1" applyFill="1" applyBorder="1" applyAlignment="1">
      <alignment horizontal="left" vertical="center" wrapText="1"/>
      <protection/>
    </xf>
    <xf numFmtId="3" fontId="20" fillId="0" borderId="23" xfId="119" applyNumberFormat="1" applyFont="1" applyFill="1" applyBorder="1" applyAlignment="1">
      <alignment horizontal="left" vertical="center" wrapText="1"/>
      <protection/>
    </xf>
    <xf numFmtId="3" fontId="20" fillId="0" borderId="33" xfId="119" applyNumberFormat="1" applyFont="1" applyFill="1" applyBorder="1" applyAlignment="1">
      <alignment horizontal="left" vertical="center"/>
      <protection/>
    </xf>
    <xf numFmtId="3" fontId="20" fillId="0" borderId="23" xfId="119" applyNumberFormat="1" applyFont="1" applyFill="1" applyBorder="1" applyAlignment="1">
      <alignment horizontal="left" vertical="center"/>
      <protection/>
    </xf>
    <xf numFmtId="3" fontId="20" fillId="0" borderId="25" xfId="119" applyNumberFormat="1" applyFont="1" applyFill="1" applyBorder="1" applyAlignment="1">
      <alignment horizontal="left" vertical="center"/>
      <protection/>
    </xf>
    <xf numFmtId="3" fontId="20" fillId="0" borderId="25" xfId="119" applyNumberFormat="1" applyFont="1" applyFill="1" applyBorder="1" applyAlignment="1">
      <alignment horizontal="left" vertical="center" wrapText="1"/>
      <protection/>
    </xf>
    <xf numFmtId="3" fontId="20" fillId="0" borderId="34" xfId="119" applyNumberFormat="1" applyFont="1" applyFill="1" applyBorder="1" applyAlignment="1">
      <alignment horizontal="right" vertical="center" wrapText="1"/>
      <protection/>
    </xf>
    <xf numFmtId="3" fontId="20" fillId="0" borderId="34" xfId="119" applyNumberFormat="1" applyFont="1" applyFill="1" applyBorder="1" applyAlignment="1">
      <alignment horizontal="right" vertical="center"/>
      <protection/>
    </xf>
    <xf numFmtId="0" fontId="66" fillId="34" borderId="0" xfId="105" applyFont="1" applyFill="1" applyAlignment="1">
      <alignment vertical="center" wrapText="1"/>
      <protection/>
    </xf>
    <xf numFmtId="0" fontId="21" fillId="34" borderId="0" xfId="105" applyFont="1" applyFill="1" applyAlignment="1">
      <alignment vertical="center" wrapText="1"/>
      <protection/>
    </xf>
    <xf numFmtId="0" fontId="21" fillId="34" borderId="0" xfId="105" applyFont="1" applyFill="1" applyAlignment="1">
      <alignment horizontal="center" vertical="center" wrapText="1"/>
      <protection/>
    </xf>
    <xf numFmtId="0" fontId="21" fillId="34" borderId="0" xfId="105" applyFont="1" applyFill="1" applyBorder="1" applyAlignment="1">
      <alignment vertical="center" wrapText="1"/>
      <protection/>
    </xf>
    <xf numFmtId="0" fontId="60" fillId="34" borderId="0" xfId="105" applyNumberFormat="1" applyFont="1" applyFill="1" applyBorder="1" applyAlignment="1">
      <alignment horizontal="right" vertical="center" wrapText="1"/>
      <protection/>
    </xf>
    <xf numFmtId="0" fontId="61" fillId="34" borderId="9" xfId="105" applyFont="1" applyFill="1" applyBorder="1" applyAlignment="1">
      <alignment horizontal="center" vertical="center" wrapText="1"/>
      <protection/>
    </xf>
    <xf numFmtId="0" fontId="61" fillId="34" borderId="9" xfId="105" applyNumberFormat="1" applyFont="1" applyFill="1" applyBorder="1" applyAlignment="1">
      <alignment horizontal="center" vertical="center" wrapText="1"/>
      <protection/>
    </xf>
    <xf numFmtId="0" fontId="61" fillId="34" borderId="0" xfId="105" applyFont="1" applyFill="1" applyAlignment="1">
      <alignment vertical="center" wrapText="1"/>
      <protection/>
    </xf>
    <xf numFmtId="0" fontId="61" fillId="34" borderId="21" xfId="105" applyFont="1" applyFill="1" applyBorder="1" applyAlignment="1">
      <alignment horizontal="center" vertical="center" wrapText="1"/>
      <protection/>
    </xf>
    <xf numFmtId="0" fontId="61" fillId="34" borderId="21" xfId="105" applyFont="1" applyFill="1" applyBorder="1" applyAlignment="1">
      <alignment vertical="center" wrapText="1"/>
      <protection/>
    </xf>
    <xf numFmtId="3" fontId="61" fillId="34" borderId="21" xfId="105" applyNumberFormat="1" applyFont="1" applyFill="1" applyBorder="1" applyAlignment="1">
      <alignment vertical="center" wrapText="1"/>
      <protection/>
    </xf>
    <xf numFmtId="0" fontId="21" fillId="34" borderId="15" xfId="105" applyFont="1" applyFill="1" applyBorder="1" applyAlignment="1">
      <alignment horizontal="center" vertical="center" wrapText="1"/>
      <protection/>
    </xf>
    <xf numFmtId="175" fontId="21" fillId="34" borderId="0" xfId="105" applyNumberFormat="1" applyFont="1" applyFill="1" applyAlignment="1">
      <alignment horizontal="left" vertical="center" wrapText="1"/>
      <protection/>
    </xf>
    <xf numFmtId="0" fontId="21" fillId="34" borderId="0" xfId="105" applyFont="1" applyFill="1" applyAlignment="1">
      <alignment horizontal="right" vertical="center" wrapText="1"/>
      <protection/>
    </xf>
    <xf numFmtId="0" fontId="21" fillId="34" borderId="0" xfId="105" applyFont="1" applyFill="1" applyAlignment="1">
      <alignment horizontal="left" vertical="center" wrapText="1"/>
      <protection/>
    </xf>
    <xf numFmtId="0" fontId="60" fillId="34" borderId="15" xfId="105" applyFont="1" applyFill="1" applyBorder="1" applyAlignment="1">
      <alignment horizontal="center" vertical="center" wrapText="1"/>
      <protection/>
    </xf>
    <xf numFmtId="0" fontId="60" fillId="34" borderId="0" xfId="105" applyFont="1" applyFill="1" applyAlignment="1">
      <alignment horizontal="left" vertical="center" wrapText="1"/>
      <protection/>
    </xf>
    <xf numFmtId="0" fontId="60" fillId="34" borderId="0" xfId="105" applyFont="1" applyFill="1" applyAlignment="1">
      <alignment horizontal="right" vertical="center" wrapText="1"/>
      <protection/>
    </xf>
    <xf numFmtId="0" fontId="60" fillId="34" borderId="0" xfId="105" applyFont="1" applyFill="1" applyAlignment="1">
      <alignment vertical="center" wrapText="1"/>
      <protection/>
    </xf>
    <xf numFmtId="0" fontId="9" fillId="34" borderId="15" xfId="105" applyFont="1" applyFill="1" applyBorder="1" applyAlignment="1">
      <alignment horizontal="center" vertical="center" wrapText="1"/>
      <protection/>
    </xf>
    <xf numFmtId="0" fontId="9" fillId="34" borderId="27" xfId="105" applyFont="1" applyFill="1" applyBorder="1" applyAlignment="1">
      <alignment horizontal="center" vertical="center" wrapText="1"/>
      <protection/>
    </xf>
    <xf numFmtId="0" fontId="9" fillId="34" borderId="23" xfId="105" applyNumberFormat="1" applyFont="1" applyFill="1" applyBorder="1" applyAlignment="1">
      <alignment vertical="center" wrapText="1"/>
      <protection/>
    </xf>
    <xf numFmtId="1" fontId="9" fillId="34" borderId="15" xfId="105" applyNumberFormat="1" applyFont="1" applyFill="1" applyBorder="1" applyAlignment="1">
      <alignment horizontal="right" vertical="center" wrapText="1"/>
      <protection/>
    </xf>
    <xf numFmtId="0" fontId="62" fillId="34" borderId="15" xfId="105" applyFont="1" applyFill="1" applyBorder="1" applyAlignment="1">
      <alignment horizontal="center" vertical="center" wrapText="1"/>
      <protection/>
    </xf>
    <xf numFmtId="0" fontId="62" fillId="34" borderId="27" xfId="105" applyFont="1" applyFill="1" applyBorder="1" applyAlignment="1">
      <alignment horizontal="center" vertical="center" wrapText="1"/>
      <protection/>
    </xf>
    <xf numFmtId="0" fontId="62" fillId="34" borderId="23" xfId="105" applyNumberFormat="1" applyFont="1" applyFill="1" applyBorder="1" applyAlignment="1">
      <alignment vertical="center" wrapText="1"/>
      <protection/>
    </xf>
    <xf numFmtId="1" fontId="21" fillId="34" borderId="0" xfId="105" applyNumberFormat="1" applyFont="1" applyFill="1" applyAlignment="1">
      <alignment vertical="center" wrapText="1"/>
      <protection/>
    </xf>
    <xf numFmtId="0" fontId="62" fillId="34" borderId="27" xfId="105" applyFont="1" applyFill="1" applyBorder="1" applyAlignment="1">
      <alignment horizontal="right" vertical="center" wrapText="1"/>
      <protection/>
    </xf>
    <xf numFmtId="0" fontId="9" fillId="34" borderId="27" xfId="105" applyFont="1" applyFill="1" applyBorder="1" applyAlignment="1">
      <alignment horizontal="right" vertical="center" wrapText="1"/>
      <protection/>
    </xf>
    <xf numFmtId="1" fontId="9" fillId="34" borderId="15" xfId="105" applyNumberFormat="1" applyFont="1" applyFill="1" applyBorder="1" applyAlignment="1">
      <alignment horizontal="left" vertical="center" wrapText="1"/>
      <protection/>
    </xf>
    <xf numFmtId="1" fontId="21" fillId="34" borderId="0" xfId="105" applyNumberFormat="1" applyFont="1" applyFill="1" applyAlignment="1">
      <alignment horizontal="left" vertical="center" wrapText="1"/>
      <protection/>
    </xf>
    <xf numFmtId="0" fontId="62" fillId="34" borderId="35" xfId="105" applyFont="1" applyFill="1" applyBorder="1" applyAlignment="1">
      <alignment horizontal="center" vertical="center" wrapText="1"/>
      <protection/>
    </xf>
    <xf numFmtId="3" fontId="9" fillId="34" borderId="15" xfId="105" applyNumberFormat="1" applyFont="1" applyFill="1" applyBorder="1" applyAlignment="1">
      <alignment horizontal="right" vertical="center" wrapText="1"/>
      <protection/>
    </xf>
    <xf numFmtId="0" fontId="21" fillId="34" borderId="34" xfId="105" applyFont="1" applyFill="1" applyBorder="1" applyAlignment="1">
      <alignment horizontal="center" vertical="center" wrapText="1"/>
      <protection/>
    </xf>
    <xf numFmtId="0" fontId="21" fillId="34" borderId="36" xfId="105" applyFont="1" applyFill="1" applyBorder="1" applyAlignment="1">
      <alignment horizontal="center" vertical="center" wrapText="1"/>
      <protection/>
    </xf>
    <xf numFmtId="0" fontId="21" fillId="34" borderId="25" xfId="105" applyFont="1" applyFill="1" applyBorder="1" applyAlignment="1">
      <alignment vertical="center" wrapText="1"/>
      <protection/>
    </xf>
    <xf numFmtId="177" fontId="21" fillId="34" borderId="18" xfId="105" applyNumberFormat="1" applyFont="1" applyFill="1" applyBorder="1" applyAlignment="1">
      <alignment vertical="center" wrapText="1"/>
      <protection/>
    </xf>
    <xf numFmtId="0" fontId="21" fillId="34" borderId="18" xfId="105" applyFont="1" applyFill="1" applyBorder="1" applyAlignment="1">
      <alignment vertical="center" wrapText="1"/>
      <protection/>
    </xf>
    <xf numFmtId="0" fontId="68" fillId="34" borderId="0" xfId="105" applyFont="1" applyFill="1" applyAlignment="1">
      <alignment vertical="center" wrapText="1"/>
      <protection/>
    </xf>
    <xf numFmtId="0" fontId="61" fillId="34" borderId="0" xfId="118" applyFont="1" applyFill="1" applyAlignment="1">
      <alignment horizontal="center" vertical="center"/>
      <protection/>
    </xf>
    <xf numFmtId="0" fontId="21" fillId="34" borderId="0" xfId="118" applyFont="1" applyFill="1" applyAlignment="1">
      <alignment vertical="center"/>
      <protection/>
    </xf>
    <xf numFmtId="0" fontId="61" fillId="34" borderId="0" xfId="118" applyFont="1" applyFill="1" applyAlignment="1">
      <alignment horizontal="center" vertical="center" wrapText="1"/>
      <protection/>
    </xf>
    <xf numFmtId="175" fontId="61" fillId="34" borderId="0" xfId="118" applyNumberFormat="1" applyFont="1" applyFill="1" applyAlignment="1">
      <alignment horizontal="center" vertical="center"/>
      <protection/>
    </xf>
    <xf numFmtId="174" fontId="61" fillId="34" borderId="0" xfId="52" applyNumberFormat="1" applyFont="1" applyFill="1" applyAlignment="1">
      <alignment horizontal="center" vertical="center"/>
    </xf>
    <xf numFmtId="0" fontId="21" fillId="34" borderId="1" xfId="118" applyFont="1" applyFill="1" applyBorder="1" applyAlignment="1">
      <alignment horizontal="center" vertical="center"/>
      <protection/>
    </xf>
    <xf numFmtId="49" fontId="21" fillId="34" borderId="1" xfId="118" applyNumberFormat="1" applyFont="1" applyFill="1" applyBorder="1" applyAlignment="1">
      <alignment vertical="center" wrapText="1"/>
      <protection/>
    </xf>
    <xf numFmtId="175" fontId="21" fillId="34" borderId="0" xfId="118" applyNumberFormat="1" applyFont="1" applyFill="1" applyAlignment="1">
      <alignment vertical="center" wrapText="1"/>
      <protection/>
    </xf>
    <xf numFmtId="49" fontId="21" fillId="34" borderId="0" xfId="118" applyNumberFormat="1" applyFont="1" applyFill="1" applyAlignment="1">
      <alignment vertical="center" wrapText="1"/>
      <protection/>
    </xf>
    <xf numFmtId="43" fontId="21" fillId="34" borderId="0" xfId="68" applyFont="1" applyFill="1" applyAlignment="1">
      <alignment vertical="center"/>
    </xf>
    <xf numFmtId="174" fontId="21" fillId="34" borderId="0" xfId="52" applyNumberFormat="1" applyFont="1" applyFill="1" applyAlignment="1">
      <alignment vertical="center"/>
    </xf>
    <xf numFmtId="0" fontId="61" fillId="34" borderId="9" xfId="118" applyFont="1" applyFill="1" applyBorder="1" applyAlignment="1">
      <alignment horizontal="center" vertical="center" wrapText="1"/>
      <protection/>
    </xf>
    <xf numFmtId="49" fontId="61" fillId="34" borderId="9" xfId="118" applyNumberFormat="1" applyFont="1" applyFill="1" applyBorder="1" applyAlignment="1">
      <alignment horizontal="center" vertical="center" wrapText="1"/>
      <protection/>
    </xf>
    <xf numFmtId="175" fontId="61" fillId="34" borderId="9" xfId="118" applyNumberFormat="1" applyFont="1" applyFill="1" applyBorder="1" applyAlignment="1">
      <alignment horizontal="center" vertical="center" wrapText="1"/>
      <protection/>
    </xf>
    <xf numFmtId="1" fontId="61" fillId="34" borderId="9" xfId="118" applyNumberFormat="1" applyFont="1" applyFill="1" applyBorder="1" applyAlignment="1">
      <alignment horizontal="center" vertical="center" wrapText="1"/>
      <protection/>
    </xf>
    <xf numFmtId="1" fontId="61" fillId="34" borderId="9" xfId="68" applyNumberFormat="1" applyFont="1" applyFill="1" applyBorder="1" applyAlignment="1">
      <alignment horizontal="center" vertical="center" wrapText="1"/>
    </xf>
    <xf numFmtId="1" fontId="61" fillId="34" borderId="9" xfId="52" applyNumberFormat="1" applyFont="1" applyFill="1" applyBorder="1" applyAlignment="1">
      <alignment horizontal="center" vertical="center" wrapText="1"/>
    </xf>
    <xf numFmtId="1" fontId="61" fillId="34" borderId="0" xfId="52" applyNumberFormat="1" applyFont="1" applyFill="1" applyBorder="1" applyAlignment="1">
      <alignment horizontal="center" vertical="center" wrapText="1"/>
    </xf>
    <xf numFmtId="0" fontId="61" fillId="34" borderId="0" xfId="118" applyFont="1" applyFill="1" applyAlignment="1">
      <alignment vertical="center" wrapText="1"/>
      <protection/>
    </xf>
    <xf numFmtId="0" fontId="61" fillId="34" borderId="21" xfId="118" applyFont="1" applyFill="1" applyBorder="1" applyAlignment="1">
      <alignment horizontal="center" vertical="center"/>
      <protection/>
    </xf>
    <xf numFmtId="49" fontId="61" fillId="34" borderId="21" xfId="118" applyNumberFormat="1" applyFont="1" applyFill="1" applyBorder="1" applyAlignment="1">
      <alignment horizontal="center" vertical="center" wrapText="1"/>
      <protection/>
    </xf>
    <xf numFmtId="175" fontId="61" fillId="34" borderId="21" xfId="118" applyNumberFormat="1" applyFont="1" applyFill="1" applyBorder="1" applyAlignment="1">
      <alignment horizontal="center" vertical="center" wrapText="1"/>
      <protection/>
    </xf>
    <xf numFmtId="175" fontId="61" fillId="34" borderId="21" xfId="68" applyNumberFormat="1" applyFont="1" applyFill="1" applyBorder="1" applyAlignment="1">
      <alignment vertical="center"/>
    </xf>
    <xf numFmtId="174" fontId="61" fillId="34" borderId="21" xfId="68" applyNumberFormat="1" applyFont="1" applyFill="1" applyBorder="1" applyAlignment="1">
      <alignment vertical="center"/>
    </xf>
    <xf numFmtId="178" fontId="61" fillId="34" borderId="21" xfId="52" applyNumberFormat="1" applyFont="1" applyFill="1" applyBorder="1" applyAlignment="1">
      <alignment vertical="center"/>
    </xf>
    <xf numFmtId="178" fontId="61" fillId="34" borderId="0" xfId="52" applyNumberFormat="1" applyFont="1" applyFill="1" applyBorder="1" applyAlignment="1">
      <alignment vertical="center"/>
    </xf>
    <xf numFmtId="0" fontId="61" fillId="34" borderId="0" xfId="118" applyFont="1" applyFill="1" applyAlignment="1">
      <alignment vertical="center"/>
      <protection/>
    </xf>
    <xf numFmtId="3" fontId="61" fillId="34" borderId="0" xfId="118" applyNumberFormat="1" applyFont="1" applyFill="1" applyAlignment="1">
      <alignment vertical="center"/>
      <protection/>
    </xf>
    <xf numFmtId="0" fontId="61" fillId="34" borderId="15" xfId="118" applyFont="1" applyFill="1" applyBorder="1" applyAlignment="1">
      <alignment horizontal="center" vertical="center"/>
      <protection/>
    </xf>
    <xf numFmtId="49" fontId="61" fillId="34" borderId="15" xfId="118" applyNumberFormat="1" applyFont="1" applyFill="1" applyBorder="1" applyAlignment="1">
      <alignment horizontal="right" vertical="center" wrapText="1"/>
      <protection/>
    </xf>
    <xf numFmtId="175" fontId="61" fillId="34" borderId="15" xfId="118" applyNumberFormat="1" applyFont="1" applyFill="1" applyBorder="1" applyAlignment="1">
      <alignment vertical="center" wrapText="1"/>
      <protection/>
    </xf>
    <xf numFmtId="175" fontId="61" fillId="34" borderId="15" xfId="68" applyNumberFormat="1" applyFont="1" applyFill="1" applyBorder="1" applyAlignment="1">
      <alignment horizontal="left" vertical="center"/>
    </xf>
    <xf numFmtId="175" fontId="61" fillId="34" borderId="15" xfId="68" applyNumberFormat="1" applyFont="1" applyFill="1" applyBorder="1" applyAlignment="1">
      <alignment vertical="center"/>
    </xf>
    <xf numFmtId="174" fontId="61" fillId="34" borderId="15" xfId="68" applyNumberFormat="1" applyFont="1" applyFill="1" applyBorder="1" applyAlignment="1">
      <alignment vertical="center"/>
    </xf>
    <xf numFmtId="174" fontId="61" fillId="34" borderId="15" xfId="52" applyNumberFormat="1" applyFont="1" applyFill="1" applyBorder="1" applyAlignment="1">
      <alignment vertical="center"/>
    </xf>
    <xf numFmtId="174" fontId="61" fillId="34" borderId="0" xfId="52" applyNumberFormat="1" applyFont="1" applyFill="1" applyBorder="1" applyAlignment="1">
      <alignment vertical="center"/>
    </xf>
    <xf numFmtId="0" fontId="42" fillId="34" borderId="0" xfId="118" applyFont="1" applyFill="1" applyAlignment="1">
      <alignment horizontal="right" vertical="center"/>
      <protection/>
    </xf>
    <xf numFmtId="0" fontId="42" fillId="34" borderId="0" xfId="118" applyFont="1" applyFill="1" applyAlignment="1">
      <alignment vertical="center"/>
      <protection/>
    </xf>
    <xf numFmtId="0" fontId="42" fillId="34" borderId="0" xfId="118" applyFont="1" applyFill="1" applyAlignment="1">
      <alignment horizontal="left" vertical="center"/>
      <protection/>
    </xf>
    <xf numFmtId="0" fontId="21" fillId="34" borderId="15" xfId="118" applyFont="1" applyFill="1" applyBorder="1" applyAlignment="1">
      <alignment horizontal="center" vertical="center"/>
      <protection/>
    </xf>
    <xf numFmtId="49" fontId="21" fillId="34" borderId="15" xfId="118" applyNumberFormat="1" applyFont="1" applyFill="1" applyBorder="1" applyAlignment="1">
      <alignment horizontal="right" vertical="center" wrapText="1"/>
      <protection/>
    </xf>
    <xf numFmtId="175" fontId="21" fillId="34" borderId="15" xfId="118" applyNumberFormat="1" applyFont="1" applyFill="1" applyBorder="1" applyAlignment="1">
      <alignment vertical="center" wrapText="1"/>
      <protection/>
    </xf>
    <xf numFmtId="175" fontId="21" fillId="34" borderId="15" xfId="68" applyNumberFormat="1" applyFont="1" applyFill="1" applyBorder="1" applyAlignment="1">
      <alignment horizontal="left" vertical="center"/>
    </xf>
    <xf numFmtId="175" fontId="21" fillId="34" borderId="15" xfId="68" applyNumberFormat="1" applyFont="1" applyFill="1" applyBorder="1" applyAlignment="1">
      <alignment vertical="center"/>
    </xf>
    <xf numFmtId="174" fontId="21" fillId="34" borderId="15" xfId="68" applyNumberFormat="1" applyFont="1" applyFill="1" applyBorder="1" applyAlignment="1">
      <alignment vertical="center"/>
    </xf>
    <xf numFmtId="174" fontId="21" fillId="34" borderId="15" xfId="52" applyNumberFormat="1" applyFont="1" applyFill="1" applyBorder="1" applyAlignment="1">
      <alignment vertical="center"/>
    </xf>
    <xf numFmtId="174" fontId="21" fillId="34" borderId="0" xfId="52" applyNumberFormat="1" applyFont="1" applyFill="1" applyBorder="1" applyAlignment="1">
      <alignment vertical="center"/>
    </xf>
    <xf numFmtId="0" fontId="21" fillId="34" borderId="0" xfId="118" applyFont="1" applyFill="1" applyAlignment="1">
      <alignment horizontal="right" vertical="center"/>
      <protection/>
    </xf>
    <xf numFmtId="0" fontId="21" fillId="34" borderId="0" xfId="118" applyFont="1" applyFill="1" applyAlignment="1">
      <alignment horizontal="left" vertical="center"/>
      <protection/>
    </xf>
    <xf numFmtId="49" fontId="21" fillId="34" borderId="15" xfId="118" applyNumberFormat="1" applyFont="1" applyFill="1" applyBorder="1" applyAlignment="1">
      <alignment vertical="center" wrapText="1"/>
      <protection/>
    </xf>
    <xf numFmtId="49" fontId="21" fillId="34" borderId="15" xfId="118" applyNumberFormat="1" applyFont="1" applyFill="1" applyBorder="1" applyAlignment="1" quotePrefix="1">
      <alignment vertical="center" wrapText="1"/>
      <protection/>
    </xf>
    <xf numFmtId="175" fontId="21" fillId="34" borderId="15" xfId="118" applyNumberFormat="1" applyFont="1" applyFill="1" applyBorder="1" applyAlignment="1" quotePrefix="1">
      <alignment vertical="center" wrapText="1"/>
      <protection/>
    </xf>
    <xf numFmtId="49" fontId="9" fillId="34" borderId="15" xfId="118" applyNumberFormat="1" applyFont="1" applyFill="1" applyBorder="1" applyAlignment="1" quotePrefix="1">
      <alignment vertical="center" wrapText="1"/>
      <protection/>
    </xf>
    <xf numFmtId="175" fontId="9" fillId="34" borderId="15" xfId="118" applyNumberFormat="1" applyFont="1" applyFill="1" applyBorder="1" applyAlignment="1" quotePrefix="1">
      <alignment vertical="center" wrapText="1"/>
      <protection/>
    </xf>
    <xf numFmtId="49" fontId="61" fillId="34" borderId="15" xfId="118" applyNumberFormat="1" applyFont="1" applyFill="1" applyBorder="1" applyAlignment="1">
      <alignment vertical="center" wrapText="1"/>
      <protection/>
    </xf>
    <xf numFmtId="198" fontId="61" fillId="34" borderId="15" xfId="118" applyNumberFormat="1" applyFont="1" applyFill="1" applyBorder="1" applyAlignment="1">
      <alignment vertical="center" wrapText="1"/>
      <protection/>
    </xf>
    <xf numFmtId="3" fontId="61" fillId="34" borderId="15" xfId="118" applyNumberFormat="1" applyFont="1" applyFill="1" applyBorder="1" applyAlignment="1">
      <alignment vertical="center" wrapText="1"/>
      <protection/>
    </xf>
    <xf numFmtId="0" fontId="60" fillId="34" borderId="15" xfId="118" applyFont="1" applyFill="1" applyBorder="1" applyAlignment="1">
      <alignment horizontal="center" vertical="center"/>
      <protection/>
    </xf>
    <xf numFmtId="49" fontId="60" fillId="34" borderId="15" xfId="118" applyNumberFormat="1" applyFont="1" applyFill="1" applyBorder="1" applyAlignment="1">
      <alignment horizontal="right" vertical="center" wrapText="1"/>
      <protection/>
    </xf>
    <xf numFmtId="175" fontId="60" fillId="34" borderId="15" xfId="118" applyNumberFormat="1" applyFont="1" applyFill="1" applyBorder="1" applyAlignment="1">
      <alignment vertical="center" wrapText="1"/>
      <protection/>
    </xf>
    <xf numFmtId="175" fontId="60" fillId="34" borderId="15" xfId="118" applyNumberFormat="1" applyFont="1" applyFill="1" applyBorder="1" applyAlignment="1">
      <alignment horizontal="left" vertical="center" wrapText="1"/>
      <protection/>
    </xf>
    <xf numFmtId="174" fontId="60" fillId="34" borderId="0" xfId="52" applyNumberFormat="1" applyFont="1" applyFill="1" applyBorder="1" applyAlignment="1">
      <alignment horizontal="center" vertical="center"/>
    </xf>
    <xf numFmtId="0" fontId="60" fillId="34" borderId="0" xfId="118" applyFont="1" applyFill="1" applyAlignment="1">
      <alignment horizontal="right" vertical="center"/>
      <protection/>
    </xf>
    <xf numFmtId="0" fontId="60" fillId="34" borderId="0" xfId="118" applyFont="1" applyFill="1" applyAlignment="1">
      <alignment vertical="center"/>
      <protection/>
    </xf>
    <xf numFmtId="0" fontId="60" fillId="34" borderId="0" xfId="118" applyFont="1" applyFill="1" applyAlignment="1">
      <alignment horizontal="left" vertical="center"/>
      <protection/>
    </xf>
    <xf numFmtId="3" fontId="21" fillId="34" borderId="15" xfId="68" applyNumberFormat="1" applyFont="1" applyFill="1" applyBorder="1" applyAlignment="1">
      <alignment vertical="center"/>
    </xf>
    <xf numFmtId="3" fontId="21" fillId="34" borderId="15" xfId="68" applyNumberFormat="1" applyFont="1" applyFill="1" applyBorder="1" applyAlignment="1">
      <alignment horizontal="left" vertical="center"/>
    </xf>
    <xf numFmtId="174" fontId="21" fillId="34" borderId="0" xfId="52" applyNumberFormat="1" applyFont="1" applyFill="1" applyBorder="1" applyAlignment="1">
      <alignment horizontal="center" vertical="center"/>
    </xf>
    <xf numFmtId="175" fontId="60" fillId="34" borderId="15" xfId="68" applyNumberFormat="1" applyFont="1" applyFill="1" applyBorder="1" applyAlignment="1">
      <alignment vertical="center"/>
    </xf>
    <xf numFmtId="174" fontId="60" fillId="34" borderId="0" xfId="52" applyNumberFormat="1" applyFont="1" applyFill="1" applyBorder="1" applyAlignment="1">
      <alignment vertical="center"/>
    </xf>
    <xf numFmtId="49" fontId="60" fillId="34" borderId="15" xfId="118" applyNumberFormat="1" applyFont="1" applyFill="1" applyBorder="1" applyAlignment="1">
      <alignment vertical="center" wrapText="1"/>
      <protection/>
    </xf>
    <xf numFmtId="3" fontId="61" fillId="34" borderId="15" xfId="68" applyNumberFormat="1" applyFont="1" applyFill="1" applyBorder="1" applyAlignment="1">
      <alignment vertical="center"/>
    </xf>
    <xf numFmtId="0" fontId="61" fillId="34" borderId="22" xfId="118" applyFont="1" applyFill="1" applyBorder="1" applyAlignment="1">
      <alignment horizontal="center" vertical="center"/>
      <protection/>
    </xf>
    <xf numFmtId="49" fontId="61" fillId="34" borderId="22" xfId="118" applyNumberFormat="1" applyFont="1" applyFill="1" applyBorder="1" applyAlignment="1">
      <alignment vertical="center" wrapText="1"/>
      <protection/>
    </xf>
    <xf numFmtId="175" fontId="61" fillId="34" borderId="22" xfId="118" applyNumberFormat="1" applyFont="1" applyFill="1" applyBorder="1" applyAlignment="1">
      <alignment vertical="center" wrapText="1"/>
      <protection/>
    </xf>
    <xf numFmtId="175" fontId="61" fillId="34" borderId="22" xfId="68" applyNumberFormat="1" applyFont="1" applyFill="1" applyBorder="1" applyAlignment="1">
      <alignment vertical="center"/>
    </xf>
    <xf numFmtId="174" fontId="61" fillId="34" borderId="22" xfId="68" applyNumberFormat="1" applyFont="1" applyFill="1" applyBorder="1" applyAlignment="1">
      <alignment vertical="center"/>
    </xf>
    <xf numFmtId="174" fontId="61" fillId="34" borderId="22" xfId="52" applyNumberFormat="1" applyFont="1" applyFill="1" applyBorder="1" applyAlignment="1">
      <alignment vertical="center"/>
    </xf>
    <xf numFmtId="0" fontId="21" fillId="34" borderId="21" xfId="118" applyFont="1" applyFill="1" applyBorder="1" applyAlignment="1">
      <alignment horizontal="center" vertical="center"/>
      <protection/>
    </xf>
    <xf numFmtId="49" fontId="21" fillId="34" borderId="21" xfId="118" applyNumberFormat="1" applyFont="1" applyFill="1" applyBorder="1" applyAlignment="1">
      <alignment vertical="center" wrapText="1"/>
      <protection/>
    </xf>
    <xf numFmtId="175" fontId="21" fillId="34" borderId="21" xfId="118" applyNumberFormat="1" applyFont="1" applyFill="1" applyBorder="1" applyAlignment="1">
      <alignment vertical="center" wrapText="1"/>
      <protection/>
    </xf>
    <xf numFmtId="175" fontId="42" fillId="34" borderId="21" xfId="68" applyNumberFormat="1" applyFont="1" applyFill="1" applyBorder="1" applyAlignment="1">
      <alignment vertical="center"/>
    </xf>
    <xf numFmtId="175" fontId="21" fillId="34" borderId="21" xfId="68" applyNumberFormat="1" applyFont="1" applyFill="1" applyBorder="1" applyAlignment="1">
      <alignment vertical="center"/>
    </xf>
    <xf numFmtId="174" fontId="21" fillId="34" borderId="21" xfId="68" applyNumberFormat="1" applyFont="1" applyFill="1" applyBorder="1" applyAlignment="1">
      <alignment vertical="center"/>
    </xf>
    <xf numFmtId="174" fontId="21" fillId="34" borderId="21" xfId="52" applyNumberFormat="1" applyFont="1" applyFill="1" applyBorder="1" applyAlignment="1">
      <alignment vertical="center"/>
    </xf>
    <xf numFmtId="0" fontId="21" fillId="34" borderId="18" xfId="118" applyFont="1" applyFill="1" applyBorder="1" applyAlignment="1">
      <alignment horizontal="center" vertical="center"/>
      <protection/>
    </xf>
    <xf numFmtId="49" fontId="21" fillId="34" borderId="18" xfId="118" applyNumberFormat="1" applyFont="1" applyFill="1" applyBorder="1" applyAlignment="1">
      <alignment vertical="center" wrapText="1"/>
      <protection/>
    </xf>
    <xf numFmtId="175" fontId="21" fillId="34" borderId="18" xfId="118" applyNumberFormat="1" applyFont="1" applyFill="1" applyBorder="1" applyAlignment="1">
      <alignment vertical="center" wrapText="1"/>
      <protection/>
    </xf>
    <xf numFmtId="3" fontId="21" fillId="34" borderId="18" xfId="68" applyNumberFormat="1" applyFont="1" applyFill="1" applyBorder="1" applyAlignment="1">
      <alignment vertical="center"/>
    </xf>
    <xf numFmtId="174" fontId="21" fillId="34" borderId="18" xfId="68" applyNumberFormat="1" applyFont="1" applyFill="1" applyBorder="1" applyAlignment="1">
      <alignment vertical="center"/>
    </xf>
    <xf numFmtId="174" fontId="21" fillId="34" borderId="18" xfId="52" applyNumberFormat="1" applyFont="1" applyFill="1" applyBorder="1" applyAlignment="1">
      <alignment vertical="center"/>
    </xf>
    <xf numFmtId="0" fontId="21" fillId="34" borderId="0" xfId="118" applyFont="1" applyFill="1" applyAlignment="1">
      <alignment horizontal="center" vertical="center"/>
      <protection/>
    </xf>
    <xf numFmtId="174" fontId="21" fillId="34" borderId="0" xfId="68" applyNumberFormat="1" applyFont="1" applyFill="1" applyAlignment="1">
      <alignment vertical="center"/>
    </xf>
    <xf numFmtId="0" fontId="71" fillId="34" borderId="0" xfId="118" applyFont="1" applyFill="1" applyAlignment="1">
      <alignment horizontal="center" vertical="center"/>
      <protection/>
    </xf>
    <xf numFmtId="49" fontId="21" fillId="34" borderId="0" xfId="118" applyNumberFormat="1" applyFont="1" applyFill="1" applyAlignment="1">
      <alignment horizontal="left" vertical="center"/>
      <protection/>
    </xf>
    <xf numFmtId="175" fontId="21" fillId="34" borderId="0" xfId="118" applyNumberFormat="1" applyFont="1" applyFill="1" applyAlignment="1">
      <alignment horizontal="left" vertical="center"/>
      <protection/>
    </xf>
    <xf numFmtId="4" fontId="21" fillId="34" borderId="0" xfId="118" applyNumberFormat="1" applyFont="1" applyFill="1" applyAlignment="1">
      <alignment horizontal="left" vertical="center"/>
      <protection/>
    </xf>
    <xf numFmtId="174" fontId="21" fillId="34" borderId="0" xfId="118" applyNumberFormat="1" applyFont="1" applyFill="1" applyAlignment="1">
      <alignment horizontal="left" vertical="center"/>
      <protection/>
    </xf>
    <xf numFmtId="174" fontId="21" fillId="34" borderId="0" xfId="52" applyNumberFormat="1" applyFont="1" applyFill="1" applyAlignment="1">
      <alignment horizontal="left" vertical="center"/>
    </xf>
    <xf numFmtId="3" fontId="61" fillId="34" borderId="15" xfId="105" applyNumberFormat="1" applyFont="1" applyFill="1" applyBorder="1" applyAlignment="1">
      <alignment horizontal="right" vertical="center" wrapText="1"/>
      <protection/>
    </xf>
    <xf numFmtId="1" fontId="61" fillId="34" borderId="15" xfId="105" applyNumberFormat="1" applyFont="1" applyFill="1" applyBorder="1" applyAlignment="1">
      <alignment horizontal="left" vertical="center" wrapText="1"/>
      <protection/>
    </xf>
    <xf numFmtId="1" fontId="61" fillId="34" borderId="15" xfId="105" applyNumberFormat="1" applyFont="1" applyFill="1" applyBorder="1" applyAlignment="1">
      <alignment horizontal="right" vertical="center" wrapText="1"/>
      <protection/>
    </xf>
    <xf numFmtId="175" fontId="61" fillId="34" borderId="15" xfId="105" applyNumberFormat="1" applyFont="1" applyFill="1" applyBorder="1" applyAlignment="1">
      <alignment horizontal="right" vertical="center" wrapText="1"/>
      <protection/>
    </xf>
    <xf numFmtId="175" fontId="61" fillId="34" borderId="15" xfId="105" applyNumberFormat="1" applyFont="1" applyFill="1" applyBorder="1" applyAlignment="1">
      <alignment horizontal="left" vertical="center" wrapText="1"/>
      <protection/>
    </xf>
    <xf numFmtId="1" fontId="21" fillId="34" borderId="15" xfId="105" applyNumberFormat="1" applyFont="1" applyFill="1" applyBorder="1" applyAlignment="1">
      <alignment horizontal="left" vertical="center" wrapText="1"/>
      <protection/>
    </xf>
    <xf numFmtId="1" fontId="21" fillId="34" borderId="15" xfId="105" applyNumberFormat="1" applyFont="1" applyFill="1" applyBorder="1" applyAlignment="1">
      <alignment horizontal="right" vertical="center" wrapText="1"/>
      <protection/>
    </xf>
    <xf numFmtId="3" fontId="21" fillId="34" borderId="15" xfId="105" applyNumberFormat="1" applyFont="1" applyFill="1" applyBorder="1" applyAlignment="1">
      <alignment horizontal="right" vertical="center" wrapText="1"/>
      <protection/>
    </xf>
    <xf numFmtId="3" fontId="21" fillId="34" borderId="15" xfId="105" applyNumberFormat="1" applyFont="1" applyFill="1" applyBorder="1" applyAlignment="1">
      <alignment horizontal="left" vertical="center" wrapText="1"/>
      <protection/>
    </xf>
    <xf numFmtId="1" fontId="60" fillId="34" borderId="15" xfId="105" applyNumberFormat="1" applyFont="1" applyFill="1" applyBorder="1" applyAlignment="1">
      <alignment horizontal="left" vertical="center" wrapText="1"/>
      <protection/>
    </xf>
    <xf numFmtId="1" fontId="60" fillId="34" borderId="15" xfId="105" applyNumberFormat="1" applyFont="1" applyFill="1" applyBorder="1" applyAlignment="1">
      <alignment horizontal="right" vertical="center" wrapText="1"/>
      <protection/>
    </xf>
    <xf numFmtId="175" fontId="60" fillId="34" borderId="15" xfId="105" applyNumberFormat="1" applyFont="1" applyFill="1" applyBorder="1" applyAlignment="1">
      <alignment horizontal="right" vertical="center" wrapText="1"/>
      <protection/>
    </xf>
    <xf numFmtId="175" fontId="60" fillId="34" borderId="15" xfId="105" applyNumberFormat="1" applyFont="1" applyFill="1" applyBorder="1" applyAlignment="1">
      <alignment horizontal="left" vertical="center" wrapText="1"/>
      <protection/>
    </xf>
    <xf numFmtId="1" fontId="62" fillId="34" borderId="15" xfId="105" applyNumberFormat="1" applyFont="1" applyFill="1" applyBorder="1" applyAlignment="1">
      <alignment horizontal="right" vertical="center" wrapText="1"/>
      <protection/>
    </xf>
    <xf numFmtId="175" fontId="62" fillId="34" borderId="15" xfId="105" applyNumberFormat="1" applyFont="1" applyFill="1" applyBorder="1" applyAlignment="1">
      <alignment horizontal="right" vertical="center" wrapText="1"/>
      <protection/>
    </xf>
    <xf numFmtId="175" fontId="60" fillId="34" borderId="15" xfId="105" applyNumberFormat="1" applyFont="1" applyFill="1" applyBorder="1" applyAlignment="1">
      <alignment horizontal="center" vertical="center" wrapText="1"/>
      <protection/>
    </xf>
    <xf numFmtId="3" fontId="21" fillId="34" borderId="15" xfId="105" applyNumberFormat="1" applyFont="1" applyFill="1" applyBorder="1" applyAlignment="1">
      <alignment horizontal="center" vertical="center" wrapText="1"/>
      <protection/>
    </xf>
    <xf numFmtId="3" fontId="9" fillId="34" borderId="15" xfId="105" applyNumberFormat="1" applyFont="1" applyFill="1" applyBorder="1" applyAlignment="1">
      <alignment horizontal="left" vertical="center" wrapText="1"/>
      <protection/>
    </xf>
    <xf numFmtId="1" fontId="62" fillId="34" borderId="15" xfId="105" applyNumberFormat="1" applyFont="1" applyFill="1" applyBorder="1" applyAlignment="1">
      <alignment horizontal="left" vertical="center" wrapText="1"/>
      <protection/>
    </xf>
    <xf numFmtId="175" fontId="62" fillId="34" borderId="15" xfId="105" applyNumberFormat="1" applyFont="1" applyFill="1" applyBorder="1" applyAlignment="1">
      <alignment horizontal="left" vertical="center" wrapText="1"/>
      <protection/>
    </xf>
    <xf numFmtId="0" fontId="61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6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 wrapText="1"/>
    </xf>
    <xf numFmtId="174" fontId="16" fillId="0" borderId="9" xfId="5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vertical="center"/>
    </xf>
    <xf numFmtId="0" fontId="20" fillId="0" borderId="9" xfId="0" applyFont="1" applyFill="1" applyBorder="1" applyAlignment="1" quotePrefix="1">
      <alignment horizontal="left" vertical="center" wrapText="1"/>
    </xf>
    <xf numFmtId="0" fontId="20" fillId="0" borderId="9" xfId="0" applyFont="1" applyFill="1" applyBorder="1" applyAlignment="1" quotePrefix="1">
      <alignment horizontal="center" vertical="center" wrapText="1"/>
    </xf>
    <xf numFmtId="178" fontId="16" fillId="0" borderId="9" xfId="50" applyNumberFormat="1" applyFont="1" applyFill="1" applyBorder="1" applyAlignment="1">
      <alignment horizontal="center" vertical="center" wrapText="1"/>
    </xf>
    <xf numFmtId="0" fontId="21" fillId="0" borderId="0" xfId="113" applyFont="1" applyFill="1" applyAlignment="1">
      <alignment vertical="center"/>
      <protection/>
    </xf>
    <xf numFmtId="0" fontId="21" fillId="0" borderId="0" xfId="113" applyFont="1" applyFill="1" applyAlignment="1">
      <alignment vertical="center" wrapText="1"/>
      <protection/>
    </xf>
    <xf numFmtId="0" fontId="21" fillId="0" borderId="0" xfId="113" applyFont="1" applyFill="1" applyAlignment="1">
      <alignment horizontal="center" vertical="center" wrapText="1"/>
      <protection/>
    </xf>
    <xf numFmtId="0" fontId="20" fillId="0" borderId="0" xfId="113" applyFont="1" applyFill="1" applyBorder="1" applyAlignment="1">
      <alignment vertical="center"/>
      <protection/>
    </xf>
    <xf numFmtId="0" fontId="20" fillId="0" borderId="0" xfId="113" applyFont="1" applyFill="1" applyAlignment="1">
      <alignment horizontal="center" vertical="center" wrapText="1"/>
      <protection/>
    </xf>
    <xf numFmtId="0" fontId="20" fillId="0" borderId="0" xfId="113" applyFont="1" applyFill="1" applyAlignment="1">
      <alignment vertical="center"/>
      <protection/>
    </xf>
    <xf numFmtId="0" fontId="16" fillId="0" borderId="9" xfId="113" applyFont="1" applyFill="1" applyBorder="1" applyAlignment="1">
      <alignment horizontal="center" vertical="center" wrapText="1"/>
      <protection/>
    </xf>
    <xf numFmtId="0" fontId="61" fillId="0" borderId="0" xfId="113" applyFont="1" applyFill="1" applyAlignment="1">
      <alignment vertical="center" wrapText="1"/>
      <protection/>
    </xf>
    <xf numFmtId="0" fontId="16" fillId="0" borderId="9" xfId="113" applyFont="1" applyFill="1" applyBorder="1" applyAlignment="1">
      <alignment horizontal="center" vertical="center"/>
      <protection/>
    </xf>
    <xf numFmtId="0" fontId="16" fillId="0" borderId="9" xfId="113" applyFont="1" applyFill="1" applyBorder="1" applyAlignment="1">
      <alignment vertical="center" wrapText="1"/>
      <protection/>
    </xf>
    <xf numFmtId="0" fontId="20" fillId="0" borderId="9" xfId="113" applyFont="1" applyFill="1" applyBorder="1" applyAlignment="1">
      <alignment horizontal="center" vertical="center" wrapText="1"/>
      <protection/>
    </xf>
    <xf numFmtId="0" fontId="20" fillId="0" borderId="9" xfId="113" applyFont="1" applyFill="1" applyBorder="1" applyAlignment="1">
      <alignment vertical="center"/>
      <protection/>
    </xf>
    <xf numFmtId="0" fontId="61" fillId="0" borderId="0" xfId="113" applyFont="1" applyFill="1" applyAlignment="1">
      <alignment vertical="center"/>
      <protection/>
    </xf>
    <xf numFmtId="0" fontId="16" fillId="0" borderId="9" xfId="113" applyFont="1" applyFill="1" applyBorder="1" applyAlignment="1">
      <alignment horizontal="left" vertical="center" wrapText="1"/>
      <protection/>
    </xf>
    <xf numFmtId="0" fontId="20" fillId="0" borderId="9" xfId="113" applyFont="1" applyFill="1" applyBorder="1" applyAlignment="1">
      <alignment horizontal="center" vertical="center"/>
      <protection/>
    </xf>
    <xf numFmtId="0" fontId="21" fillId="0" borderId="0" xfId="113" applyFont="1" applyFill="1" applyAlignment="1">
      <alignment horizontal="right" vertical="center"/>
      <protection/>
    </xf>
    <xf numFmtId="0" fontId="21" fillId="0" borderId="0" xfId="113" applyFont="1" applyFill="1" applyAlignment="1">
      <alignment horizontal="left" vertical="center"/>
      <protection/>
    </xf>
    <xf numFmtId="0" fontId="20" fillId="0" borderId="0" xfId="113" applyFont="1" applyFill="1" applyAlignment="1">
      <alignment horizontal="center" vertical="center"/>
      <protection/>
    </xf>
    <xf numFmtId="0" fontId="20" fillId="0" borderId="0" xfId="113" applyFont="1" applyFill="1" applyAlignment="1">
      <alignment vertical="center" wrapText="1"/>
      <protection/>
    </xf>
    <xf numFmtId="174" fontId="20" fillId="0" borderId="0" xfId="59" applyNumberFormat="1" applyFont="1" applyFill="1" applyAlignment="1">
      <alignment horizontal="center" vertical="center"/>
    </xf>
    <xf numFmtId="175" fontId="20" fillId="0" borderId="0" xfId="59" applyNumberFormat="1" applyFont="1" applyFill="1" applyAlignment="1">
      <alignment vertical="center"/>
    </xf>
    <xf numFmtId="0" fontId="20" fillId="0" borderId="0" xfId="113" applyFont="1" applyFill="1" applyAlignment="1">
      <alignment horizontal="right" vertical="center" wrapText="1"/>
      <protection/>
    </xf>
    <xf numFmtId="175" fontId="20" fillId="0" borderId="0" xfId="113" applyNumberFormat="1" applyFont="1" applyFill="1" applyAlignment="1">
      <alignment horizontal="left" vertical="center"/>
      <protection/>
    </xf>
    <xf numFmtId="175" fontId="20" fillId="0" borderId="0" xfId="113" applyNumberFormat="1" applyFont="1" applyFill="1" applyAlignment="1">
      <alignment vertical="center"/>
      <protection/>
    </xf>
    <xf numFmtId="0" fontId="21" fillId="0" borderId="0" xfId="113" applyFont="1" applyFill="1" applyAlignment="1">
      <alignment horizontal="center" vertical="center"/>
      <protection/>
    </xf>
    <xf numFmtId="0" fontId="16" fillId="0" borderId="0" xfId="113" applyFont="1" applyFill="1" applyAlignment="1">
      <alignment vertical="center" wrapText="1"/>
      <protection/>
    </xf>
    <xf numFmtId="0" fontId="16" fillId="0" borderId="0" xfId="113" applyFont="1" applyFill="1" applyAlignment="1">
      <alignment horizontal="right" vertical="center"/>
      <protection/>
    </xf>
    <xf numFmtId="0" fontId="16" fillId="0" borderId="0" xfId="113" applyFont="1" applyFill="1" applyAlignment="1">
      <alignment vertical="center"/>
      <protection/>
    </xf>
    <xf numFmtId="0" fontId="16" fillId="0" borderId="0" xfId="113" applyFont="1" applyFill="1" applyAlignment="1">
      <alignment horizontal="left" vertical="center"/>
      <protection/>
    </xf>
    <xf numFmtId="49" fontId="20" fillId="0" borderId="0" xfId="113" applyNumberFormat="1" applyFont="1" applyFill="1" applyAlignment="1">
      <alignment horizontal="center" vertical="center"/>
      <protection/>
    </xf>
    <xf numFmtId="0" fontId="20" fillId="0" borderId="0" xfId="113" applyFont="1" applyFill="1" applyBorder="1" applyAlignment="1">
      <alignment vertical="center" wrapText="1"/>
      <protection/>
    </xf>
    <xf numFmtId="0" fontId="20" fillId="0" borderId="0" xfId="113" applyFont="1" applyFill="1" applyBorder="1" applyAlignment="1">
      <alignment horizontal="center" vertical="center" wrapText="1"/>
      <protection/>
    </xf>
    <xf numFmtId="0" fontId="20" fillId="0" borderId="0" xfId="113" applyFont="1" applyFill="1" applyAlignment="1">
      <alignment horizontal="left" vertical="center"/>
      <protection/>
    </xf>
    <xf numFmtId="0" fontId="20" fillId="0" borderId="0" xfId="113" applyFont="1" applyFill="1" applyAlignment="1">
      <alignment horizontal="right" vertical="center"/>
      <protection/>
    </xf>
    <xf numFmtId="0" fontId="61" fillId="0" borderId="0" xfId="113" applyFont="1" applyFill="1" applyBorder="1" applyAlignment="1">
      <alignment vertical="center" wrapText="1"/>
      <protection/>
    </xf>
    <xf numFmtId="0" fontId="16" fillId="0" borderId="37" xfId="113" applyFont="1" applyFill="1" applyBorder="1" applyAlignment="1">
      <alignment horizontal="center" vertical="center"/>
      <protection/>
    </xf>
    <xf numFmtId="0" fontId="16" fillId="0" borderId="37" xfId="113" applyFont="1" applyFill="1" applyBorder="1" applyAlignment="1">
      <alignment horizontal="left" vertical="center" wrapText="1"/>
      <protection/>
    </xf>
    <xf numFmtId="0" fontId="16" fillId="0" borderId="37" xfId="113" applyFont="1" applyFill="1" applyBorder="1" applyAlignment="1">
      <alignment horizontal="center" vertical="center" wrapText="1"/>
      <protection/>
    </xf>
    <xf numFmtId="174" fontId="16" fillId="0" borderId="37" xfId="62" applyNumberFormat="1" applyFont="1" applyFill="1" applyBorder="1" applyAlignment="1">
      <alignment horizontal="center" vertical="center"/>
    </xf>
    <xf numFmtId="175" fontId="16" fillId="0" borderId="37" xfId="62" applyNumberFormat="1" applyFont="1" applyFill="1" applyBorder="1" applyAlignment="1">
      <alignment horizontal="left" vertical="center"/>
    </xf>
    <xf numFmtId="175" fontId="16" fillId="0" borderId="37" xfId="62" applyNumberFormat="1" applyFont="1" applyFill="1" applyBorder="1" applyAlignment="1">
      <alignment horizontal="center" vertical="center"/>
    </xf>
    <xf numFmtId="0" fontId="16" fillId="0" borderId="37" xfId="113" applyFont="1" applyFill="1" applyBorder="1" applyAlignment="1">
      <alignment vertical="center"/>
      <protection/>
    </xf>
    <xf numFmtId="0" fontId="20" fillId="0" borderId="9" xfId="113" applyFont="1" applyFill="1" applyBorder="1" applyAlignment="1">
      <alignment horizontal="center" vertical="top"/>
      <protection/>
    </xf>
    <xf numFmtId="0" fontId="20" fillId="0" borderId="9" xfId="113" applyFont="1" applyFill="1" applyBorder="1" applyAlignment="1" quotePrefix="1">
      <alignment horizontal="center" vertical="center" wrapText="1"/>
      <protection/>
    </xf>
    <xf numFmtId="0" fontId="20" fillId="0" borderId="9" xfId="113" applyFont="1" applyFill="1" applyBorder="1" applyAlignment="1" quotePrefix="1">
      <alignment vertical="center" wrapText="1"/>
      <protection/>
    </xf>
    <xf numFmtId="0" fontId="76" fillId="0" borderId="0" xfId="113" applyFont="1" applyFill="1" applyAlignment="1">
      <alignment vertical="center" wrapText="1"/>
      <protection/>
    </xf>
    <xf numFmtId="0" fontId="20" fillId="34" borderId="9" xfId="113" applyFont="1" applyFill="1" applyBorder="1" applyAlignment="1">
      <alignment horizontal="center" vertical="center" wrapText="1"/>
      <protection/>
    </xf>
    <xf numFmtId="0" fontId="16" fillId="34" borderId="9" xfId="113" applyFont="1" applyFill="1" applyBorder="1" applyAlignment="1">
      <alignment horizontal="center" vertical="center"/>
      <protection/>
    </xf>
    <xf numFmtId="0" fontId="20" fillId="34" borderId="9" xfId="113" applyFont="1" applyFill="1" applyBorder="1" applyAlignment="1" quotePrefix="1">
      <alignment vertical="center" wrapText="1"/>
      <protection/>
    </xf>
    <xf numFmtId="0" fontId="21" fillId="34" borderId="0" xfId="113" applyFont="1" applyFill="1" applyAlignment="1">
      <alignment vertical="center"/>
      <protection/>
    </xf>
    <xf numFmtId="43" fontId="16" fillId="0" borderId="9" xfId="50" applyNumberFormat="1" applyFont="1" applyFill="1" applyBorder="1" applyAlignment="1">
      <alignment horizontal="right" vertical="center"/>
    </xf>
    <xf numFmtId="0" fontId="35" fillId="0" borderId="0" xfId="113" applyFont="1" applyFill="1" applyAlignment="1">
      <alignment/>
      <protection/>
    </xf>
    <xf numFmtId="43" fontId="20" fillId="0" borderId="9" xfId="50" applyFont="1" applyFill="1" applyBorder="1" applyAlignment="1">
      <alignment vertical="center"/>
    </xf>
    <xf numFmtId="0" fontId="21" fillId="0" borderId="9" xfId="113" applyFont="1" applyFill="1" applyBorder="1" applyAlignment="1">
      <alignment horizontal="center" vertical="center"/>
      <protection/>
    </xf>
    <xf numFmtId="0" fontId="61" fillId="0" borderId="9" xfId="113" applyFont="1" applyFill="1" applyBorder="1" applyAlignment="1">
      <alignment horizontal="center" vertical="center" wrapText="1"/>
      <protection/>
    </xf>
    <xf numFmtId="0" fontId="21" fillId="0" borderId="9" xfId="113" applyFont="1" applyFill="1" applyBorder="1" applyAlignment="1">
      <alignment horizontal="center" vertical="center" wrapText="1"/>
      <protection/>
    </xf>
    <xf numFmtId="0" fontId="61" fillId="0" borderId="9" xfId="113" applyFont="1" applyFill="1" applyBorder="1" applyAlignment="1">
      <alignment horizontal="center" vertical="center"/>
      <protection/>
    </xf>
    <xf numFmtId="0" fontId="61" fillId="0" borderId="9" xfId="113" applyFont="1" applyFill="1" applyBorder="1" applyAlignment="1">
      <alignment horizontal="left" vertical="center" wrapText="1"/>
      <protection/>
    </xf>
    <xf numFmtId="0" fontId="77" fillId="0" borderId="0" xfId="113" applyFont="1" applyAlignment="1">
      <alignment wrapText="1"/>
      <protection/>
    </xf>
    <xf numFmtId="0" fontId="66" fillId="0" borderId="0" xfId="113" applyFont="1" applyAlignment="1">
      <alignment horizontal="center" wrapText="1"/>
      <protection/>
    </xf>
    <xf numFmtId="0" fontId="66" fillId="0" borderId="9" xfId="113" applyFont="1" applyFill="1" applyBorder="1" applyAlignment="1">
      <alignment horizontal="center" vertical="center" wrapText="1"/>
      <protection/>
    </xf>
    <xf numFmtId="0" fontId="77" fillId="0" borderId="9" xfId="113" applyFont="1" applyFill="1" applyBorder="1" applyAlignment="1">
      <alignment horizontal="center" vertical="center" wrapText="1"/>
      <protection/>
    </xf>
    <xf numFmtId="178" fontId="66" fillId="0" borderId="9" xfId="56" applyNumberFormat="1" applyFont="1" applyFill="1" applyBorder="1" applyAlignment="1">
      <alignment horizontal="center" vertical="center" wrapText="1"/>
    </xf>
    <xf numFmtId="0" fontId="66" fillId="0" borderId="0" xfId="113" applyFont="1" applyAlignment="1">
      <alignment wrapText="1"/>
      <protection/>
    </xf>
    <xf numFmtId="0" fontId="21" fillId="0" borderId="0" xfId="114" applyFont="1" applyFill="1" applyAlignment="1">
      <alignment vertical="center"/>
      <protection/>
    </xf>
    <xf numFmtId="0" fontId="21" fillId="0" borderId="0" xfId="114" applyFont="1" applyFill="1" applyAlignment="1">
      <alignment vertical="center" wrapText="1"/>
      <protection/>
    </xf>
    <xf numFmtId="0" fontId="16" fillId="0" borderId="9" xfId="114" applyFont="1" applyFill="1" applyBorder="1" applyAlignment="1">
      <alignment horizontal="center" vertical="center" wrapText="1"/>
      <protection/>
    </xf>
    <xf numFmtId="0" fontId="61" fillId="0" borderId="0" xfId="114" applyFont="1" applyFill="1" applyAlignment="1">
      <alignment vertical="center" wrapText="1"/>
      <protection/>
    </xf>
    <xf numFmtId="0" fontId="16" fillId="0" borderId="9" xfId="114" applyFont="1" applyFill="1" applyBorder="1" applyAlignment="1">
      <alignment horizontal="center" vertical="center"/>
      <protection/>
    </xf>
    <xf numFmtId="0" fontId="20" fillId="0" borderId="9" xfId="114" applyFont="1" applyFill="1" applyBorder="1" applyAlignment="1">
      <alignment horizontal="center" vertical="center" wrapText="1"/>
      <protection/>
    </xf>
    <xf numFmtId="0" fontId="61" fillId="0" borderId="0" xfId="114" applyFont="1" applyFill="1" applyAlignment="1">
      <alignment vertical="center"/>
      <protection/>
    </xf>
    <xf numFmtId="171" fontId="61" fillId="0" borderId="0" xfId="114" applyNumberFormat="1" applyFont="1" applyFill="1" applyAlignment="1">
      <alignment vertical="center"/>
      <protection/>
    </xf>
    <xf numFmtId="0" fontId="20" fillId="0" borderId="9" xfId="114" applyFont="1" applyFill="1" applyBorder="1" applyAlignment="1">
      <alignment horizontal="center" vertical="center"/>
      <protection/>
    </xf>
    <xf numFmtId="0" fontId="20" fillId="0" borderId="0" xfId="114" applyFont="1" applyFill="1" applyAlignment="1">
      <alignment horizontal="center" vertical="center"/>
      <protection/>
    </xf>
    <xf numFmtId="0" fontId="20" fillId="0" borderId="0" xfId="114" applyFont="1" applyFill="1" applyAlignment="1">
      <alignment vertical="center"/>
      <protection/>
    </xf>
    <xf numFmtId="0" fontId="20" fillId="0" borderId="0" xfId="114" applyFont="1" applyFill="1" applyAlignment="1">
      <alignment vertical="center" wrapText="1"/>
      <protection/>
    </xf>
    <xf numFmtId="0" fontId="21" fillId="0" borderId="0" xfId="114" applyFont="1" applyFill="1" applyAlignment="1">
      <alignment horizontal="center" vertical="center"/>
      <protection/>
    </xf>
    <xf numFmtId="0" fontId="66" fillId="0" borderId="0" xfId="113" applyFont="1" applyFill="1" applyAlignment="1">
      <alignment vertical="center" wrapText="1"/>
      <protection/>
    </xf>
    <xf numFmtId="0" fontId="66" fillId="0" borderId="0" xfId="114" applyFont="1" applyFill="1" applyAlignment="1">
      <alignment vertical="center" wrapText="1"/>
      <protection/>
    </xf>
    <xf numFmtId="0" fontId="66" fillId="0" borderId="0" xfId="0" applyFont="1" applyFill="1" applyAlignment="1">
      <alignment vertical="center"/>
    </xf>
    <xf numFmtId="0" fontId="66" fillId="0" borderId="0" xfId="113" applyFont="1" applyFill="1" applyAlignment="1">
      <alignment vertical="center"/>
      <protection/>
    </xf>
    <xf numFmtId="0" fontId="66" fillId="0" borderId="0" xfId="113" applyFont="1" applyFill="1" applyAlignment="1">
      <alignment horizontal="center" vertical="center" wrapText="1"/>
      <protection/>
    </xf>
    <xf numFmtId="0" fontId="66" fillId="0" borderId="0" xfId="114" applyFont="1" applyFill="1" applyAlignment="1">
      <alignment vertical="center"/>
      <protection/>
    </xf>
    <xf numFmtId="0" fontId="66" fillId="0" borderId="0" xfId="114" applyFont="1" applyFill="1" applyAlignment="1">
      <alignment horizontal="center" vertical="center" wrapText="1"/>
      <protection/>
    </xf>
    <xf numFmtId="0" fontId="66" fillId="0" borderId="0" xfId="113" applyFont="1" applyFill="1" applyBorder="1" applyAlignment="1">
      <alignment vertical="center"/>
      <protection/>
    </xf>
    <xf numFmtId="0" fontId="16" fillId="0" borderId="9" xfId="113" applyFont="1" applyFill="1" applyBorder="1" applyAlignment="1">
      <alignment horizontal="right" vertical="center"/>
      <protection/>
    </xf>
    <xf numFmtId="200" fontId="20" fillId="0" borderId="9" xfId="113" applyNumberFormat="1" applyFont="1" applyFill="1" applyBorder="1" applyAlignment="1">
      <alignment horizontal="right" vertical="center"/>
      <protection/>
    </xf>
    <xf numFmtId="0" fontId="20" fillId="0" borderId="0" xfId="114" applyFont="1" applyFill="1" applyAlignment="1">
      <alignment horizontal="center" vertical="center" wrapText="1"/>
      <protection/>
    </xf>
    <xf numFmtId="0" fontId="21" fillId="0" borderId="0" xfId="114" applyFont="1" applyFill="1" applyAlignment="1">
      <alignment horizontal="center" vertical="center" wrapText="1"/>
      <protection/>
    </xf>
    <xf numFmtId="3" fontId="20" fillId="0" borderId="0" xfId="113" applyNumberFormat="1" applyFont="1" applyFill="1" applyAlignment="1">
      <alignment horizontal="center" vertical="center" wrapText="1"/>
      <protection/>
    </xf>
    <xf numFmtId="174" fontId="16" fillId="0" borderId="9" xfId="52" applyNumberFormat="1" applyFont="1" applyFill="1" applyBorder="1" applyAlignment="1">
      <alignment horizontal="center" vertical="center" wrapText="1"/>
    </xf>
    <xf numFmtId="174" fontId="72" fillId="0" borderId="9" xfId="52" applyNumberFormat="1" applyFont="1" applyFill="1" applyBorder="1" applyAlignment="1">
      <alignment horizontal="right" vertical="center" wrapText="1"/>
    </xf>
    <xf numFmtId="4" fontId="72" fillId="0" borderId="9" xfId="52" applyNumberFormat="1" applyFont="1" applyFill="1" applyBorder="1" applyAlignment="1">
      <alignment horizontal="right" vertical="center"/>
    </xf>
    <xf numFmtId="174" fontId="20" fillId="0" borderId="9" xfId="52" applyNumberFormat="1" applyFont="1" applyFill="1" applyBorder="1" applyAlignment="1">
      <alignment horizontal="right" vertical="center" wrapText="1"/>
    </xf>
    <xf numFmtId="0" fontId="84" fillId="0" borderId="0" xfId="113" applyFont="1" applyFill="1" applyBorder="1" applyAlignment="1">
      <alignment horizontal="right" vertical="center"/>
      <protection/>
    </xf>
    <xf numFmtId="0" fontId="84" fillId="0" borderId="0" xfId="113" applyFont="1" applyFill="1" applyBorder="1" applyAlignment="1">
      <alignment vertical="center"/>
      <protection/>
    </xf>
    <xf numFmtId="0" fontId="66" fillId="0" borderId="0" xfId="113" applyFont="1" applyFill="1" applyBorder="1" applyAlignment="1">
      <alignment horizontal="center" vertical="center"/>
      <protection/>
    </xf>
    <xf numFmtId="0" fontId="84" fillId="0" borderId="0" xfId="114" applyFont="1" applyFill="1" applyBorder="1" applyAlignment="1">
      <alignment horizontal="center" vertical="center"/>
      <protection/>
    </xf>
    <xf numFmtId="0" fontId="16" fillId="0" borderId="0" xfId="114" applyFont="1" applyFill="1" applyAlignment="1">
      <alignment horizontal="center" vertical="center"/>
      <protection/>
    </xf>
    <xf numFmtId="0" fontId="35" fillId="0" borderId="0" xfId="114" applyFont="1" applyFill="1" applyAlignment="1">
      <alignment horizontal="right" vertical="center"/>
      <protection/>
    </xf>
    <xf numFmtId="199" fontId="61" fillId="0" borderId="0" xfId="114" applyNumberFormat="1" applyFont="1" applyFill="1" applyAlignment="1">
      <alignment vertical="center"/>
      <protection/>
    </xf>
    <xf numFmtId="0" fontId="16" fillId="0" borderId="0" xfId="114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20" fillId="0" borderId="9" xfId="0" applyFont="1" applyFill="1" applyBorder="1" applyAlignment="1">
      <alignment vertical="center" wrapText="1"/>
    </xf>
    <xf numFmtId="3" fontId="20" fillId="0" borderId="9" xfId="52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82" fillId="0" borderId="9" xfId="0" applyFont="1" applyFill="1" applyBorder="1" applyAlignment="1">
      <alignment horizontal="center" vertical="center" wrapText="1"/>
    </xf>
    <xf numFmtId="0" fontId="86" fillId="0" borderId="9" xfId="0" applyFont="1" applyFill="1" applyBorder="1" applyAlignment="1">
      <alignment horizontal="left" vertical="center" wrapText="1"/>
    </xf>
    <xf numFmtId="1" fontId="82" fillId="0" borderId="9" xfId="0" applyNumberFormat="1" applyFont="1" applyFill="1" applyBorder="1" applyAlignment="1">
      <alignment horizontal="center" vertical="center" wrapText="1"/>
    </xf>
    <xf numFmtId="0" fontId="20" fillId="0" borderId="0" xfId="113" applyFont="1" applyFill="1" applyBorder="1" applyAlignment="1">
      <alignment horizontal="center" vertical="center"/>
      <protection/>
    </xf>
    <xf numFmtId="0" fontId="82" fillId="0" borderId="9" xfId="0" applyFont="1" applyFill="1" applyBorder="1" applyAlignment="1" quotePrefix="1">
      <alignment horizontal="left" vertical="center" wrapText="1"/>
    </xf>
    <xf numFmtId="43" fontId="66" fillId="0" borderId="0" xfId="50" applyNumberFormat="1" applyFont="1" applyFill="1" applyAlignment="1">
      <alignment horizontal="center" vertical="center" wrapText="1"/>
    </xf>
    <xf numFmtId="43" fontId="20" fillId="0" borderId="0" xfId="50" applyNumberFormat="1" applyFont="1" applyFill="1" applyAlignment="1">
      <alignment horizontal="center" vertical="center"/>
    </xf>
    <xf numFmtId="43" fontId="21" fillId="0" borderId="0" xfId="50" applyNumberFormat="1" applyFont="1" applyFill="1" applyAlignment="1">
      <alignment horizontal="center" vertical="center"/>
    </xf>
    <xf numFmtId="0" fontId="16" fillId="0" borderId="0" xfId="114" applyFont="1" applyFill="1" applyAlignment="1">
      <alignment vertical="center"/>
      <protection/>
    </xf>
    <xf numFmtId="0" fontId="60" fillId="0" borderId="9" xfId="113" applyFont="1" applyFill="1" applyBorder="1" applyAlignment="1">
      <alignment horizontal="center" vertical="center" wrapText="1"/>
      <protection/>
    </xf>
    <xf numFmtId="0" fontId="60" fillId="0" borderId="9" xfId="113" applyFont="1" applyFill="1" applyBorder="1" applyAlignment="1">
      <alignment horizontal="center" vertical="center"/>
      <protection/>
    </xf>
    <xf numFmtId="0" fontId="60" fillId="0" borderId="9" xfId="113" applyFont="1" applyFill="1" applyBorder="1" applyAlignment="1">
      <alignment horizontal="left" vertical="center" wrapText="1"/>
      <protection/>
    </xf>
    <xf numFmtId="0" fontId="16" fillId="0" borderId="1" xfId="113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9" xfId="113" applyFont="1" applyFill="1" applyBorder="1" applyAlignment="1">
      <alignment vertical="center" wrapText="1"/>
      <protection/>
    </xf>
    <xf numFmtId="0" fontId="21" fillId="0" borderId="9" xfId="113" applyFont="1" applyFill="1" applyBorder="1" applyAlignment="1">
      <alignment vertical="center" wrapText="1"/>
      <protection/>
    </xf>
    <xf numFmtId="43" fontId="20" fillId="0" borderId="9" xfId="50" applyNumberFormat="1" applyFont="1" applyFill="1" applyBorder="1" applyAlignment="1">
      <alignment horizontal="right" vertical="center"/>
    </xf>
    <xf numFmtId="0" fontId="20" fillId="0" borderId="9" xfId="113" applyFont="1" applyFill="1" applyBorder="1" applyAlignment="1">
      <alignment horizontal="right" vertical="center" wrapText="1"/>
      <protection/>
    </xf>
    <xf numFmtId="178" fontId="20" fillId="0" borderId="9" xfId="52" applyNumberFormat="1" applyFont="1" applyFill="1" applyBorder="1" applyAlignment="1">
      <alignment horizontal="right" vertical="center" wrapText="1"/>
    </xf>
    <xf numFmtId="0" fontId="20" fillId="34" borderId="0" xfId="113" applyFont="1" applyFill="1" applyAlignment="1">
      <alignment vertical="center"/>
      <protection/>
    </xf>
    <xf numFmtId="0" fontId="20" fillId="0" borderId="26" xfId="0" applyFont="1" applyFill="1" applyBorder="1" applyAlignment="1" quotePrefix="1">
      <alignment horizontal="left" vertical="center" wrapText="1"/>
    </xf>
    <xf numFmtId="0" fontId="16" fillId="0" borderId="37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vertical="center" wrapText="1"/>
    </xf>
    <xf numFmtId="0" fontId="16" fillId="0" borderId="37" xfId="0" applyFont="1" applyFill="1" applyBorder="1" applyAlignment="1">
      <alignment vertical="center"/>
    </xf>
    <xf numFmtId="0" fontId="20" fillId="0" borderId="0" xfId="0" applyFont="1" applyFill="1" applyBorder="1" applyAlignment="1" quotePrefix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0" xfId="113" applyFont="1" applyFill="1" applyAlignment="1">
      <alignment horizontal="center" vertical="center"/>
      <protection/>
    </xf>
    <xf numFmtId="0" fontId="20" fillId="34" borderId="0" xfId="113" applyFont="1" applyFill="1" applyAlignment="1">
      <alignment horizontal="right" vertical="center"/>
      <protection/>
    </xf>
    <xf numFmtId="0" fontId="16" fillId="34" borderId="0" xfId="113" applyFont="1" applyFill="1" applyAlignment="1">
      <alignment vertical="center"/>
      <protection/>
    </xf>
    <xf numFmtId="3" fontId="20" fillId="0" borderId="9" xfId="52" applyNumberFormat="1" applyFont="1" applyFill="1" applyBorder="1" applyAlignment="1">
      <alignment horizontal="right" vertical="center" wrapText="1"/>
    </xf>
    <xf numFmtId="174" fontId="16" fillId="0" borderId="9" xfId="52" applyNumberFormat="1" applyFont="1" applyFill="1" applyBorder="1" applyAlignment="1">
      <alignment horizontal="right" vertical="center" wrapText="1"/>
    </xf>
    <xf numFmtId="175" fontId="16" fillId="0" borderId="9" xfId="52" applyNumberFormat="1" applyFont="1" applyFill="1" applyBorder="1" applyAlignment="1">
      <alignment horizontal="right" vertical="center"/>
    </xf>
    <xf numFmtId="200" fontId="20" fillId="0" borderId="9" xfId="52" applyNumberFormat="1" applyFont="1" applyFill="1" applyBorder="1" applyAlignment="1">
      <alignment horizontal="right" vertical="center"/>
    </xf>
    <xf numFmtId="200" fontId="16" fillId="0" borderId="9" xfId="52" applyNumberFormat="1" applyFont="1" applyFill="1" applyBorder="1" applyAlignment="1">
      <alignment horizontal="right" vertical="center"/>
    </xf>
    <xf numFmtId="178" fontId="20" fillId="0" borderId="9" xfId="52" applyNumberFormat="1" applyFont="1" applyFill="1" applyBorder="1" applyAlignment="1">
      <alignment horizontal="right" vertical="center"/>
    </xf>
    <xf numFmtId="0" fontId="60" fillId="0" borderId="0" xfId="113" applyFont="1" applyFill="1" applyAlignment="1">
      <alignment vertical="center"/>
      <protection/>
    </xf>
    <xf numFmtId="0" fontId="60" fillId="0" borderId="0" xfId="113" applyFont="1" applyFill="1" applyAlignment="1">
      <alignment horizontal="center" vertical="center"/>
      <protection/>
    </xf>
    <xf numFmtId="0" fontId="20" fillId="0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81" fillId="0" borderId="0" xfId="113" applyFont="1" applyFill="1" applyBorder="1" applyAlignment="1">
      <alignment horizontal="right" vertical="center"/>
      <protection/>
    </xf>
    <xf numFmtId="3" fontId="77" fillId="0" borderId="0" xfId="0" applyNumberFormat="1" applyFont="1" applyFill="1" applyAlignment="1">
      <alignment/>
    </xf>
    <xf numFmtId="4" fontId="77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0" fontId="20" fillId="0" borderId="37" xfId="113" applyFont="1" applyFill="1" applyBorder="1" applyAlignment="1">
      <alignment horizontal="center" vertical="center"/>
      <protection/>
    </xf>
    <xf numFmtId="174" fontId="20" fillId="34" borderId="9" xfId="62" applyNumberFormat="1" applyFont="1" applyFill="1" applyBorder="1" applyAlignment="1">
      <alignment horizontal="right" vertical="center"/>
    </xf>
    <xf numFmtId="0" fontId="20" fillId="34" borderId="9" xfId="130" applyFont="1" applyFill="1" applyBorder="1" applyAlignment="1" quotePrefix="1">
      <alignment horizontal="center" vertical="center" wrapText="1"/>
      <protection/>
    </xf>
    <xf numFmtId="0" fontId="77" fillId="0" borderId="0" xfId="113" applyFont="1" applyAlignment="1">
      <alignment horizontal="center" wrapText="1"/>
      <protection/>
    </xf>
    <xf numFmtId="0" fontId="66" fillId="0" borderId="9" xfId="113" applyFont="1" applyBorder="1" applyAlignment="1">
      <alignment horizontal="center" vertical="center" wrapText="1"/>
      <protection/>
    </xf>
    <xf numFmtId="0" fontId="66" fillId="0" borderId="9" xfId="113" applyFont="1" applyBorder="1" applyAlignment="1">
      <alignment horizontal="left" vertical="center" wrapText="1"/>
      <protection/>
    </xf>
    <xf numFmtId="0" fontId="77" fillId="0" borderId="9" xfId="113" applyFont="1" applyBorder="1" applyAlignment="1">
      <alignment horizontal="center" vertical="center" wrapText="1"/>
      <protection/>
    </xf>
    <xf numFmtId="0" fontId="77" fillId="0" borderId="9" xfId="113" applyFont="1" applyBorder="1" applyAlignment="1">
      <alignment vertical="center" wrapText="1"/>
      <protection/>
    </xf>
    <xf numFmtId="0" fontId="67" fillId="0" borderId="9" xfId="113" applyFont="1" applyBorder="1" applyAlignment="1">
      <alignment vertical="center" wrapText="1"/>
      <protection/>
    </xf>
    <xf numFmtId="0" fontId="77" fillId="0" borderId="9" xfId="113" applyFont="1" applyBorder="1" applyAlignment="1" quotePrefix="1">
      <alignment horizontal="center" vertical="center" wrapText="1"/>
      <protection/>
    </xf>
    <xf numFmtId="178" fontId="77" fillId="0" borderId="0" xfId="113" applyNumberFormat="1" applyFont="1" applyAlignment="1">
      <alignment wrapText="1"/>
      <protection/>
    </xf>
    <xf numFmtId="178" fontId="77" fillId="0" borderId="9" xfId="56" applyNumberFormat="1" applyFont="1" applyBorder="1" applyAlignment="1">
      <alignment horizontal="center" vertical="center" wrapText="1"/>
    </xf>
    <xf numFmtId="0" fontId="35" fillId="34" borderId="0" xfId="113" applyFont="1" applyFill="1" applyAlignment="1">
      <alignment/>
      <protection/>
    </xf>
    <xf numFmtId="0" fontId="77" fillId="34" borderId="0" xfId="113" applyFont="1" applyFill="1" applyAlignment="1">
      <alignment wrapText="1"/>
      <protection/>
    </xf>
    <xf numFmtId="0" fontId="66" fillId="34" borderId="0" xfId="113" applyFont="1" applyFill="1" applyAlignment="1">
      <alignment horizontal="center" wrapText="1"/>
      <protection/>
    </xf>
    <xf numFmtId="0" fontId="66" fillId="34" borderId="0" xfId="113" applyFont="1" applyFill="1" applyAlignment="1">
      <alignment wrapText="1"/>
      <protection/>
    </xf>
    <xf numFmtId="174" fontId="16" fillId="0" borderId="9" xfId="62" applyNumberFormat="1" applyFont="1" applyFill="1" applyBorder="1" applyAlignment="1">
      <alignment horizontal="right" vertical="center"/>
    </xf>
    <xf numFmtId="175" fontId="16" fillId="0" borderId="9" xfId="62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35" fillId="0" borderId="0" xfId="113" applyFont="1" applyAlignment="1">
      <alignment vertical="center" wrapText="1"/>
      <protection/>
    </xf>
    <xf numFmtId="0" fontId="35" fillId="34" borderId="0" xfId="113" applyFont="1" applyFill="1" applyAlignment="1">
      <alignment vertical="center" wrapText="1"/>
      <protection/>
    </xf>
    <xf numFmtId="0" fontId="16" fillId="0" borderId="0" xfId="0" applyFont="1" applyFill="1" applyAlignment="1">
      <alignment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72" fillId="0" borderId="9" xfId="0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0" fontId="20" fillId="0" borderId="26" xfId="0" applyFont="1" applyFill="1" applyBorder="1" applyAlignment="1">
      <alignment vertical="center"/>
    </xf>
    <xf numFmtId="174" fontId="16" fillId="34" borderId="0" xfId="113" applyNumberFormat="1" applyFont="1" applyFill="1" applyAlignment="1">
      <alignment vertical="center"/>
      <protection/>
    </xf>
    <xf numFmtId="175" fontId="20" fillId="0" borderId="9" xfId="56" applyNumberFormat="1" applyFont="1" applyFill="1" applyBorder="1" applyAlignment="1">
      <alignment horizontal="center" vertical="center"/>
    </xf>
    <xf numFmtId="3" fontId="20" fillId="0" borderId="9" xfId="56" applyNumberFormat="1" applyFont="1" applyFill="1" applyBorder="1" applyAlignment="1">
      <alignment horizontal="center" vertical="center"/>
    </xf>
    <xf numFmtId="43" fontId="20" fillId="0" borderId="9" xfId="50" applyFont="1" applyFill="1" applyBorder="1" applyAlignment="1">
      <alignment horizontal="center" vertical="center"/>
    </xf>
    <xf numFmtId="1" fontId="77" fillId="0" borderId="9" xfId="113" applyNumberFormat="1" applyFont="1" applyFill="1" applyBorder="1" applyAlignment="1">
      <alignment horizontal="right" vertical="center" wrapText="1"/>
      <protection/>
    </xf>
    <xf numFmtId="178" fontId="77" fillId="0" borderId="9" xfId="52" applyNumberFormat="1" applyFont="1" applyFill="1" applyBorder="1" applyAlignment="1">
      <alignment horizontal="right" vertical="center" wrapText="1"/>
    </xf>
    <xf numFmtId="0" fontId="77" fillId="0" borderId="9" xfId="113" applyFont="1" applyFill="1" applyBorder="1" applyAlignment="1">
      <alignment horizontal="right" vertical="center" wrapText="1"/>
      <protection/>
    </xf>
    <xf numFmtId="0" fontId="66" fillId="0" borderId="9" xfId="113" applyFont="1" applyFill="1" applyBorder="1" applyAlignment="1">
      <alignment horizontal="right" vertical="center" wrapText="1"/>
      <protection/>
    </xf>
    <xf numFmtId="0" fontId="66" fillId="0" borderId="26" xfId="113" applyFont="1" applyBorder="1" applyAlignment="1">
      <alignment horizontal="center" vertical="center" wrapText="1"/>
      <protection/>
    </xf>
    <xf numFmtId="0" fontId="82" fillId="0" borderId="9" xfId="0" applyFont="1" applyFill="1" applyBorder="1" applyAlignment="1">
      <alignment horizontal="center" vertical="center" wrapText="1"/>
    </xf>
    <xf numFmtId="1" fontId="20" fillId="0" borderId="9" xfId="0" applyNumberFormat="1" applyFont="1" applyFill="1" applyBorder="1" applyAlignment="1">
      <alignment horizontal="right" vertical="center" wrapText="1"/>
    </xf>
    <xf numFmtId="49" fontId="16" fillId="0" borderId="9" xfId="113" applyNumberFormat="1" applyFont="1" applyFill="1" applyBorder="1" applyAlignment="1">
      <alignment horizontal="center" vertical="center" wrapText="1"/>
      <protection/>
    </xf>
    <xf numFmtId="174" fontId="61" fillId="0" borderId="9" xfId="50" applyNumberFormat="1" applyFont="1" applyFill="1" applyBorder="1" applyAlignment="1">
      <alignment horizontal="center" vertical="center" wrapText="1"/>
    </xf>
    <xf numFmtId="174" fontId="21" fillId="0" borderId="9" xfId="50" applyNumberFormat="1" applyFont="1" applyFill="1" applyBorder="1" applyAlignment="1">
      <alignment horizontal="center" vertical="center" wrapText="1"/>
    </xf>
    <xf numFmtId="174" fontId="21" fillId="0" borderId="9" xfId="56" applyNumberFormat="1" applyFont="1" applyFill="1" applyBorder="1" applyAlignment="1">
      <alignment horizontal="center" vertical="center" wrapText="1"/>
    </xf>
    <xf numFmtId="174" fontId="60" fillId="0" borderId="9" xfId="5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 quotePrefix="1">
      <alignment horizontal="center" vertical="center" wrapText="1"/>
    </xf>
    <xf numFmtId="0" fontId="21" fillId="0" borderId="37" xfId="0" applyFont="1" applyFill="1" applyBorder="1" applyAlignment="1" quotePrefix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174" fontId="9" fillId="0" borderId="9" xfId="50" applyNumberFormat="1" applyFont="1" applyFill="1" applyBorder="1" applyAlignment="1">
      <alignment horizontal="center" vertical="center" wrapText="1"/>
    </xf>
    <xf numFmtId="199" fontId="20" fillId="0" borderId="9" xfId="50" applyNumberFormat="1" applyFont="1" applyFill="1" applyBorder="1" applyAlignment="1">
      <alignment horizontal="right" vertical="center"/>
    </xf>
    <xf numFmtId="0" fontId="20" fillId="0" borderId="9" xfId="113" applyFont="1" applyFill="1" applyBorder="1" applyAlignment="1">
      <alignment horizontal="left" vertical="center" wrapText="1"/>
      <protection/>
    </xf>
    <xf numFmtId="43" fontId="20" fillId="0" borderId="9" xfId="50" applyFont="1" applyFill="1" applyBorder="1" applyAlignment="1">
      <alignment horizontal="right" vertical="center"/>
    </xf>
    <xf numFmtId="0" fontId="20" fillId="0" borderId="9" xfId="113" applyFont="1" applyFill="1" applyBorder="1" applyAlignment="1">
      <alignment vertical="center" wrapText="1"/>
      <protection/>
    </xf>
    <xf numFmtId="178" fontId="20" fillId="0" borderId="9" xfId="50" applyNumberFormat="1" applyFont="1" applyFill="1" applyBorder="1" applyAlignment="1">
      <alignment horizontal="center" vertical="center"/>
    </xf>
    <xf numFmtId="43" fontId="72" fillId="0" borderId="9" xfId="50" applyFont="1" applyFill="1" applyBorder="1" applyAlignment="1">
      <alignment horizontal="right" vertical="center"/>
    </xf>
    <xf numFmtId="0" fontId="20" fillId="0" borderId="37" xfId="113" applyFont="1" applyFill="1" applyBorder="1" applyAlignment="1">
      <alignment horizontal="left" vertical="center" wrapText="1"/>
      <protection/>
    </xf>
    <xf numFmtId="0" fontId="20" fillId="0" borderId="37" xfId="113" applyFont="1" applyFill="1" applyBorder="1" applyAlignment="1">
      <alignment horizontal="center" vertical="center" wrapText="1"/>
      <protection/>
    </xf>
    <xf numFmtId="0" fontId="20" fillId="0" borderId="9" xfId="113" applyFont="1" applyFill="1" applyBorder="1" applyAlignment="1">
      <alignment horizontal="right" vertical="center"/>
      <protection/>
    </xf>
    <xf numFmtId="175" fontId="20" fillId="0" borderId="9" xfId="59" applyNumberFormat="1" applyFont="1" applyFill="1" applyBorder="1" applyAlignment="1">
      <alignment horizontal="right" vertical="center"/>
    </xf>
    <xf numFmtId="4" fontId="20" fillId="0" borderId="9" xfId="59" applyNumberFormat="1" applyFont="1" applyFill="1" applyBorder="1" applyAlignment="1">
      <alignment horizontal="right" vertical="center"/>
    </xf>
    <xf numFmtId="0" fontId="20" fillId="0" borderId="9" xfId="113" applyFont="1" applyFill="1" applyBorder="1" applyAlignment="1" quotePrefix="1">
      <alignment horizontal="left" vertical="center" wrapText="1"/>
      <protection/>
    </xf>
    <xf numFmtId="2" fontId="20" fillId="0" borderId="0" xfId="113" applyNumberFormat="1" applyFont="1" applyFill="1" applyAlignment="1">
      <alignment horizontal="right" vertical="center"/>
      <protection/>
    </xf>
    <xf numFmtId="43" fontId="16" fillId="0" borderId="9" xfId="50" applyFont="1" applyFill="1" applyBorder="1" applyAlignment="1">
      <alignment horizontal="right" vertical="center"/>
    </xf>
    <xf numFmtId="43" fontId="20" fillId="0" borderId="9" xfId="50" applyNumberFormat="1" applyFont="1" applyFill="1" applyBorder="1" applyAlignment="1">
      <alignment horizontal="right" vertical="center" wrapText="1"/>
    </xf>
    <xf numFmtId="0" fontId="20" fillId="0" borderId="9" xfId="130" applyFont="1" applyFill="1" applyBorder="1" applyAlignment="1" quotePrefix="1">
      <alignment horizontal="center" vertical="center" wrapText="1"/>
      <protection/>
    </xf>
    <xf numFmtId="3" fontId="20" fillId="0" borderId="9" xfId="59" applyNumberFormat="1" applyFont="1" applyFill="1" applyBorder="1" applyAlignment="1">
      <alignment horizontal="right" vertical="center"/>
    </xf>
    <xf numFmtId="178" fontId="20" fillId="0" borderId="9" xfId="59" applyNumberFormat="1" applyFont="1" applyFill="1" applyBorder="1" applyAlignment="1">
      <alignment horizontal="right" vertical="center"/>
    </xf>
    <xf numFmtId="178" fontId="16" fillId="0" borderId="9" xfId="50" applyNumberFormat="1" applyFont="1" applyFill="1" applyBorder="1" applyAlignment="1">
      <alignment horizontal="center" vertical="center"/>
    </xf>
    <xf numFmtId="0" fontId="16" fillId="0" borderId="9" xfId="113" applyFont="1" applyFill="1" applyBorder="1" applyAlignment="1">
      <alignment vertical="center"/>
      <protection/>
    </xf>
    <xf numFmtId="178" fontId="16" fillId="0" borderId="9" xfId="50" applyNumberFormat="1" applyFont="1" applyFill="1" applyBorder="1" applyAlignment="1">
      <alignment horizontal="left" vertical="center"/>
    </xf>
    <xf numFmtId="178" fontId="20" fillId="0" borderId="9" xfId="50" applyNumberFormat="1" applyFont="1" applyFill="1" applyBorder="1" applyAlignment="1">
      <alignment horizontal="right" vertical="center" wrapText="1"/>
    </xf>
    <xf numFmtId="3" fontId="20" fillId="0" borderId="9" xfId="52" applyNumberFormat="1" applyFont="1" applyFill="1" applyBorder="1" applyAlignment="1">
      <alignment horizontal="center" vertical="center" wrapText="1"/>
    </xf>
    <xf numFmtId="178" fontId="20" fillId="0" borderId="9" xfId="50" applyNumberFormat="1" applyFont="1" applyFill="1" applyBorder="1" applyAlignment="1">
      <alignment horizontal="right" vertical="center"/>
    </xf>
    <xf numFmtId="0" fontId="16" fillId="0" borderId="0" xfId="113" applyFont="1" applyFill="1" applyBorder="1" applyAlignment="1">
      <alignment vertical="center"/>
      <protection/>
    </xf>
    <xf numFmtId="0" fontId="72" fillId="0" borderId="9" xfId="113" applyFont="1" applyFill="1" applyBorder="1" applyAlignment="1">
      <alignment vertical="center" wrapText="1"/>
      <protection/>
    </xf>
    <xf numFmtId="200" fontId="72" fillId="0" borderId="9" xfId="113" applyNumberFormat="1" applyFont="1" applyFill="1" applyBorder="1" applyAlignment="1">
      <alignment horizontal="right" vertical="center"/>
      <protection/>
    </xf>
    <xf numFmtId="200" fontId="16" fillId="0" borderId="9" xfId="113" applyNumberFormat="1" applyFont="1" applyFill="1" applyBorder="1" applyAlignment="1">
      <alignment horizontal="right" vertical="center"/>
      <protection/>
    </xf>
    <xf numFmtId="0" fontId="72" fillId="0" borderId="9" xfId="113" applyFont="1" applyFill="1" applyBorder="1" applyAlignment="1">
      <alignment horizontal="center" vertical="center"/>
      <protection/>
    </xf>
    <xf numFmtId="0" fontId="72" fillId="0" borderId="0" xfId="113" applyFont="1" applyFill="1" applyBorder="1" applyAlignment="1">
      <alignment vertical="center"/>
      <protection/>
    </xf>
    <xf numFmtId="0" fontId="72" fillId="0" borderId="0" xfId="113" applyFont="1" applyFill="1" applyAlignment="1">
      <alignment vertical="center"/>
      <protection/>
    </xf>
    <xf numFmtId="178" fontId="21" fillId="0" borderId="9" xfId="52" applyNumberFormat="1" applyFont="1" applyFill="1" applyBorder="1" applyAlignment="1">
      <alignment horizontal="center" vertical="center" wrapText="1"/>
    </xf>
    <xf numFmtId="178" fontId="21" fillId="0" borderId="9" xfId="52" applyNumberFormat="1" applyFont="1" applyFill="1" applyBorder="1" applyAlignment="1">
      <alignment vertical="center" wrapText="1"/>
    </xf>
    <xf numFmtId="178" fontId="21" fillId="0" borderId="9" xfId="52" applyNumberFormat="1" applyFont="1" applyFill="1" applyBorder="1" applyAlignment="1">
      <alignment vertical="center"/>
    </xf>
    <xf numFmtId="3" fontId="21" fillId="0" borderId="9" xfId="52" applyNumberFormat="1" applyFont="1" applyFill="1" applyBorder="1" applyAlignment="1">
      <alignment horizontal="center" vertical="center" wrapText="1"/>
    </xf>
    <xf numFmtId="3" fontId="16" fillId="0" borderId="9" xfId="56" applyNumberFormat="1" applyFont="1" applyFill="1" applyBorder="1" applyAlignment="1">
      <alignment horizontal="right" vertical="center"/>
    </xf>
    <xf numFmtId="3" fontId="16" fillId="0" borderId="9" xfId="56" applyNumberFormat="1" applyFont="1" applyFill="1" applyBorder="1" applyAlignment="1">
      <alignment horizontal="right" vertical="center" wrapText="1"/>
    </xf>
    <xf numFmtId="174" fontId="16" fillId="0" borderId="9" xfId="56" applyNumberFormat="1" applyFont="1" applyFill="1" applyBorder="1" applyAlignment="1">
      <alignment horizontal="right" vertical="center" wrapText="1"/>
    </xf>
    <xf numFmtId="175" fontId="16" fillId="0" borderId="9" xfId="56" applyNumberFormat="1" applyFont="1" applyFill="1" applyBorder="1" applyAlignment="1">
      <alignment horizontal="right" vertical="center"/>
    </xf>
    <xf numFmtId="0" fontId="16" fillId="0" borderId="0" xfId="113" applyFont="1" applyFill="1" applyAlignment="1" quotePrefix="1">
      <alignment vertical="center"/>
      <protection/>
    </xf>
    <xf numFmtId="1" fontId="20" fillId="0" borderId="9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3" fontId="16" fillId="0" borderId="9" xfId="52" applyNumberFormat="1" applyFont="1" applyFill="1" applyBorder="1" applyAlignment="1">
      <alignment horizontal="center" vertical="center" wrapText="1"/>
    </xf>
    <xf numFmtId="3" fontId="16" fillId="0" borderId="9" xfId="52" applyNumberFormat="1" applyFont="1" applyFill="1" applyBorder="1" applyAlignment="1">
      <alignment horizontal="left" vertical="center"/>
    </xf>
    <xf numFmtId="3" fontId="16" fillId="0" borderId="9" xfId="52" applyNumberFormat="1" applyFont="1" applyFill="1" applyBorder="1" applyAlignment="1">
      <alignment horizontal="center" vertical="center"/>
    </xf>
    <xf numFmtId="0" fontId="16" fillId="0" borderId="9" xfId="113" applyFont="1" applyFill="1" applyBorder="1" applyAlignment="1">
      <alignment horizontal="left" vertical="center"/>
      <protection/>
    </xf>
    <xf numFmtId="0" fontId="72" fillId="0" borderId="9" xfId="113" applyFont="1" applyFill="1" applyBorder="1" applyAlignment="1">
      <alignment horizontal="center" vertical="center" wrapText="1"/>
      <protection/>
    </xf>
    <xf numFmtId="174" fontId="20" fillId="0" borderId="9" xfId="50" applyNumberFormat="1" applyFont="1" applyFill="1" applyBorder="1" applyAlignment="1">
      <alignment horizontal="right" vertical="center"/>
    </xf>
    <xf numFmtId="3" fontId="20" fillId="0" borderId="9" xfId="52" applyNumberFormat="1" applyFont="1" applyFill="1" applyBorder="1" applyAlignment="1">
      <alignment vertical="center"/>
    </xf>
    <xf numFmtId="178" fontId="20" fillId="0" borderId="9" xfId="50" applyNumberFormat="1" applyFont="1" applyFill="1" applyBorder="1" applyAlignment="1">
      <alignment vertical="center"/>
    </xf>
    <xf numFmtId="0" fontId="87" fillId="0" borderId="0" xfId="0" applyFont="1" applyFill="1" applyAlignment="1">
      <alignment/>
    </xf>
    <xf numFmtId="174" fontId="72" fillId="0" borderId="9" xfId="56" applyNumberFormat="1" applyFont="1" applyFill="1" applyBorder="1" applyAlignment="1">
      <alignment vertical="center" wrapText="1"/>
    </xf>
    <xf numFmtId="0" fontId="72" fillId="0" borderId="9" xfId="113" applyFont="1" applyFill="1" applyBorder="1" applyAlignment="1">
      <alignment vertical="center"/>
      <protection/>
    </xf>
    <xf numFmtId="43" fontId="87" fillId="0" borderId="0" xfId="0" applyNumberFormat="1" applyFont="1" applyFill="1" applyAlignment="1">
      <alignment/>
    </xf>
    <xf numFmtId="178" fontId="20" fillId="0" borderId="9" xfId="56" applyNumberFormat="1" applyFont="1" applyFill="1" applyBorder="1" applyAlignment="1">
      <alignment vertical="center" wrapText="1"/>
    </xf>
    <xf numFmtId="3" fontId="20" fillId="0" borderId="9" xfId="130" applyNumberFormat="1" applyFont="1" applyFill="1" applyBorder="1" applyAlignment="1">
      <alignment vertical="center"/>
      <protection/>
    </xf>
    <xf numFmtId="3" fontId="20" fillId="0" borderId="9" xfId="113" applyNumberFormat="1" applyFont="1" applyFill="1" applyBorder="1" applyAlignment="1">
      <alignment vertical="center"/>
      <protection/>
    </xf>
    <xf numFmtId="175" fontId="16" fillId="0" borderId="9" xfId="52" applyNumberFormat="1" applyFont="1" applyFill="1" applyBorder="1" applyAlignment="1">
      <alignment horizontal="center" vertical="center"/>
    </xf>
    <xf numFmtId="174" fontId="20" fillId="0" borderId="9" xfId="52" applyNumberFormat="1" applyFont="1" applyFill="1" applyBorder="1" applyAlignment="1" quotePrefix="1">
      <alignment horizontal="center" vertical="center" wrapText="1"/>
    </xf>
    <xf numFmtId="43" fontId="20" fillId="0" borderId="9" xfId="50" applyFont="1" applyFill="1" applyBorder="1" applyAlignment="1">
      <alignment horizontal="right" vertical="center" wrapText="1"/>
    </xf>
    <xf numFmtId="174" fontId="20" fillId="0" borderId="9" xfId="50" applyNumberFormat="1" applyFont="1" applyFill="1" applyBorder="1" applyAlignment="1">
      <alignment horizontal="right" vertical="center" wrapText="1"/>
    </xf>
    <xf numFmtId="0" fontId="20" fillId="0" borderId="9" xfId="110" applyFont="1" applyFill="1" applyBorder="1" applyAlignment="1">
      <alignment horizontal="center" vertical="center"/>
      <protection/>
    </xf>
    <xf numFmtId="0" fontId="20" fillId="0" borderId="9" xfId="110" applyFont="1" applyFill="1" applyBorder="1" applyAlignment="1" quotePrefix="1">
      <alignment horizontal="left" vertical="center" wrapText="1"/>
      <protection/>
    </xf>
    <xf numFmtId="174" fontId="21" fillId="0" borderId="9" xfId="64" applyNumberFormat="1" applyFont="1" applyFill="1" applyBorder="1" applyAlignment="1">
      <alignment horizontal="center" vertical="center" wrapText="1"/>
    </xf>
    <xf numFmtId="0" fontId="20" fillId="0" borderId="9" xfId="110" applyFont="1" applyFill="1" applyBorder="1" applyAlignment="1" quotePrefix="1">
      <alignment horizontal="center" vertical="center"/>
      <protection/>
    </xf>
    <xf numFmtId="3" fontId="20" fillId="0" borderId="9" xfId="52" applyNumberFormat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174" fontId="21" fillId="0" borderId="26" xfId="50" applyNumberFormat="1" applyFont="1" applyFill="1" applyBorder="1" applyAlignment="1">
      <alignment horizontal="center" vertical="center" wrapText="1"/>
    </xf>
    <xf numFmtId="43" fontId="16" fillId="0" borderId="9" xfId="50" applyFont="1" applyFill="1" applyBorder="1" applyAlignment="1">
      <alignment horizontal="right" vertical="center" wrapText="1"/>
    </xf>
    <xf numFmtId="43" fontId="20" fillId="0" borderId="9" xfId="50" applyNumberFormat="1" applyFont="1" applyFill="1" applyBorder="1" applyAlignment="1" quotePrefix="1">
      <alignment horizontal="right" vertical="center" wrapText="1"/>
    </xf>
    <xf numFmtId="43" fontId="37" fillId="0" borderId="9" xfId="50" applyFont="1" applyFill="1" applyBorder="1" applyAlignment="1">
      <alignment horizontal="right" vertical="center" wrapText="1"/>
    </xf>
    <xf numFmtId="43" fontId="20" fillId="0" borderId="9" xfId="50" applyFont="1" applyFill="1" applyBorder="1" applyAlignment="1" quotePrefix="1">
      <alignment horizontal="right" vertical="center" wrapText="1"/>
    </xf>
    <xf numFmtId="43" fontId="16" fillId="0" borderId="37" xfId="50" applyFont="1" applyFill="1" applyBorder="1" applyAlignment="1">
      <alignment horizontal="right" vertical="center" wrapText="1"/>
    </xf>
    <xf numFmtId="43" fontId="16" fillId="0" borderId="37" xfId="50" applyFont="1" applyFill="1" applyBorder="1" applyAlignment="1">
      <alignment horizontal="right" vertical="center"/>
    </xf>
    <xf numFmtId="0" fontId="21" fillId="0" borderId="9" xfId="0" applyFont="1" applyFill="1" applyBorder="1" applyAlignment="1">
      <alignment horizontal="center" vertical="center" wrapText="1"/>
    </xf>
    <xf numFmtId="0" fontId="20" fillId="0" borderId="9" xfId="110" applyFont="1" applyFill="1" applyBorder="1" applyAlignment="1">
      <alignment horizontal="left" vertical="center" wrapText="1"/>
      <protection/>
    </xf>
    <xf numFmtId="0" fontId="21" fillId="0" borderId="9" xfId="110" applyFont="1" applyFill="1" applyBorder="1" applyAlignment="1">
      <alignment horizontal="center" vertical="center" wrapText="1"/>
      <protection/>
    </xf>
    <xf numFmtId="0" fontId="16" fillId="0" borderId="9" xfId="0" applyFont="1" applyFill="1" applyBorder="1" applyAlignment="1" quotePrefix="1">
      <alignment horizontal="left" vertical="center" wrapText="1"/>
    </xf>
    <xf numFmtId="43" fontId="16" fillId="0" borderId="9" xfId="50" applyNumberFormat="1" applyFont="1" applyFill="1" applyBorder="1" applyAlignment="1">
      <alignment horizontal="right" vertical="center" wrapText="1"/>
    </xf>
    <xf numFmtId="43" fontId="16" fillId="0" borderId="9" xfId="50" applyNumberFormat="1" applyFont="1" applyFill="1" applyBorder="1" applyAlignment="1">
      <alignment horizontal="right" vertical="center"/>
    </xf>
    <xf numFmtId="3" fontId="16" fillId="0" borderId="14" xfId="113" applyNumberFormat="1" applyFont="1" applyFill="1" applyBorder="1" applyAlignment="1">
      <alignment horizontal="center" vertical="center" wrapText="1"/>
      <protection/>
    </xf>
    <xf numFmtId="3" fontId="16" fillId="0" borderId="9" xfId="113" applyNumberFormat="1" applyFont="1" applyFill="1" applyBorder="1" applyAlignment="1">
      <alignment vertical="center" wrapText="1"/>
      <protection/>
    </xf>
    <xf numFmtId="3" fontId="20" fillId="0" borderId="9" xfId="113" applyNumberFormat="1" applyFont="1" applyFill="1" applyBorder="1" applyAlignment="1">
      <alignment horizontal="center" vertical="center" wrapText="1"/>
      <protection/>
    </xf>
    <xf numFmtId="3" fontId="20" fillId="0" borderId="14" xfId="113" applyNumberFormat="1" applyFont="1" applyFill="1" applyBorder="1" applyAlignment="1">
      <alignment horizontal="center" vertical="center" wrapText="1"/>
      <protection/>
    </xf>
    <xf numFmtId="3" fontId="20" fillId="0" borderId="9" xfId="113" applyNumberFormat="1" applyFont="1" applyFill="1" applyBorder="1" applyAlignment="1">
      <alignment vertical="center" wrapText="1"/>
      <protection/>
    </xf>
    <xf numFmtId="202" fontId="20" fillId="0" borderId="0" xfId="0" applyNumberFormat="1" applyFont="1" applyFill="1" applyAlignment="1">
      <alignment vertical="center"/>
    </xf>
    <xf numFmtId="43" fontId="20" fillId="0" borderId="37" xfId="50" applyNumberFormat="1" applyFont="1" applyFill="1" applyBorder="1" applyAlignment="1">
      <alignment horizontal="right" vertical="center"/>
    </xf>
    <xf numFmtId="0" fontId="20" fillId="0" borderId="9" xfId="113" applyFont="1" applyFill="1" applyBorder="1" applyAlignment="1">
      <alignment horizontal="fill" vertical="center" wrapText="1"/>
      <protection/>
    </xf>
    <xf numFmtId="177" fontId="20" fillId="0" borderId="9" xfId="115" applyNumberFormat="1" applyFont="1" applyFill="1" applyBorder="1" applyAlignment="1" quotePrefix="1">
      <alignment vertical="center" wrapText="1"/>
      <protection/>
    </xf>
    <xf numFmtId="177" fontId="20" fillId="0" borderId="9" xfId="115" applyNumberFormat="1" applyFont="1" applyFill="1" applyBorder="1" applyAlignment="1">
      <alignment horizontal="center" vertical="center" wrapText="1"/>
      <protection/>
    </xf>
    <xf numFmtId="177" fontId="20" fillId="0" borderId="9" xfId="103" applyNumberFormat="1" applyFont="1" applyFill="1" applyBorder="1" applyAlignment="1">
      <alignment vertical="center"/>
      <protection/>
    </xf>
    <xf numFmtId="0" fontId="16" fillId="0" borderId="9" xfId="115" applyFont="1" applyFill="1" applyBorder="1" applyAlignment="1">
      <alignment horizontal="center" vertical="center" wrapText="1"/>
      <protection/>
    </xf>
    <xf numFmtId="49" fontId="16" fillId="0" borderId="9" xfId="115" applyNumberFormat="1" applyFont="1" applyFill="1" applyBorder="1" applyAlignment="1">
      <alignment vertical="center" wrapText="1"/>
      <protection/>
    </xf>
    <xf numFmtId="0" fontId="20" fillId="0" borderId="9" xfId="115" applyFont="1" applyFill="1" applyBorder="1" applyAlignment="1">
      <alignment horizontal="center" vertical="center" wrapText="1"/>
      <protection/>
    </xf>
    <xf numFmtId="49" fontId="20" fillId="0" borderId="9" xfId="115" applyNumberFormat="1" applyFont="1" applyFill="1" applyBorder="1" applyAlignment="1">
      <alignment vertical="center" wrapText="1"/>
      <protection/>
    </xf>
    <xf numFmtId="49" fontId="20" fillId="0" borderId="38" xfId="115" applyNumberFormat="1" applyFont="1" applyFill="1" applyBorder="1" applyAlignment="1" quotePrefix="1">
      <alignment vertical="center" wrapText="1"/>
      <protection/>
    </xf>
    <xf numFmtId="49" fontId="20" fillId="0" borderId="38" xfId="115" applyNumberFormat="1" applyFont="1" applyFill="1" applyBorder="1" applyAlignment="1">
      <alignment vertical="center" wrapText="1"/>
      <protection/>
    </xf>
    <xf numFmtId="0" fontId="20" fillId="0" borderId="9" xfId="116" applyFont="1" applyFill="1" applyBorder="1" applyAlignment="1">
      <alignment horizontal="center" vertical="center" wrapText="1"/>
      <protection/>
    </xf>
    <xf numFmtId="178" fontId="20" fillId="0" borderId="0" xfId="113" applyNumberFormat="1" applyFont="1" applyFill="1" applyAlignment="1">
      <alignment vertical="center"/>
      <protection/>
    </xf>
    <xf numFmtId="177" fontId="20" fillId="0" borderId="9" xfId="115" applyNumberFormat="1" applyFont="1" applyFill="1" applyBorder="1" applyAlignment="1">
      <alignment vertical="center" wrapText="1"/>
      <protection/>
    </xf>
    <xf numFmtId="1" fontId="20" fillId="0" borderId="9" xfId="103" applyNumberFormat="1" applyFont="1" applyFill="1" applyBorder="1" applyAlignment="1">
      <alignment vertical="center"/>
      <protection/>
    </xf>
    <xf numFmtId="0" fontId="76" fillId="0" borderId="0" xfId="113" applyFont="1" applyFill="1" applyAlignment="1">
      <alignment vertical="center"/>
      <protection/>
    </xf>
    <xf numFmtId="1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1" fontId="61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vertical="center" wrapText="1"/>
    </xf>
    <xf numFmtId="0" fontId="21" fillId="0" borderId="9" xfId="113" applyFont="1" applyFill="1" applyBorder="1" applyAlignment="1">
      <alignment horizontal="left" vertical="center" wrapText="1"/>
      <protection/>
    </xf>
    <xf numFmtId="178" fontId="21" fillId="0" borderId="9" xfId="50" applyNumberFormat="1" applyFont="1" applyFill="1" applyBorder="1" applyAlignment="1">
      <alignment vertical="center" wrapText="1"/>
    </xf>
    <xf numFmtId="178" fontId="21" fillId="0" borderId="9" xfId="50" applyNumberFormat="1" applyFont="1" applyFill="1" applyBorder="1" applyAlignment="1">
      <alignment vertical="center"/>
    </xf>
    <xf numFmtId="1" fontId="21" fillId="0" borderId="37" xfId="0" applyNumberFormat="1" applyFont="1" applyFill="1" applyBorder="1" applyAlignment="1">
      <alignment horizontal="center" vertical="center" wrapText="1"/>
    </xf>
    <xf numFmtId="0" fontId="21" fillId="0" borderId="9" xfId="113" applyFont="1" applyFill="1" applyBorder="1" applyAlignment="1" quotePrefix="1">
      <alignment vertical="center" wrapText="1"/>
      <protection/>
    </xf>
    <xf numFmtId="0" fontId="21" fillId="0" borderId="9" xfId="113" applyFont="1" applyFill="1" applyBorder="1" applyAlignment="1" quotePrefix="1">
      <alignment horizontal="center" vertical="center" wrapText="1"/>
      <protection/>
    </xf>
    <xf numFmtId="43" fontId="21" fillId="0" borderId="9" xfId="50" applyFont="1" applyFill="1" applyBorder="1" applyAlignment="1">
      <alignment vertical="center"/>
    </xf>
    <xf numFmtId="0" fontId="60" fillId="0" borderId="9" xfId="113" applyFont="1" applyFill="1" applyBorder="1" applyAlignment="1">
      <alignment vertical="center" wrapText="1"/>
      <protection/>
    </xf>
    <xf numFmtId="178" fontId="21" fillId="0" borderId="0" xfId="113" applyNumberFormat="1" applyFont="1" applyFill="1" applyAlignment="1">
      <alignment vertical="center"/>
      <protection/>
    </xf>
    <xf numFmtId="0" fontId="21" fillId="0" borderId="0" xfId="0" applyFont="1" applyFill="1" applyAlignment="1">
      <alignment/>
    </xf>
    <xf numFmtId="0" fontId="21" fillId="0" borderId="9" xfId="103" applyFont="1" applyFill="1" applyBorder="1" applyAlignment="1">
      <alignment horizontal="center" vertical="center"/>
      <protection/>
    </xf>
    <xf numFmtId="2" fontId="21" fillId="0" borderId="9" xfId="103" applyNumberFormat="1" applyFont="1" applyFill="1" applyBorder="1" applyAlignment="1">
      <alignment horizontal="left" vertical="center" wrapText="1"/>
      <protection/>
    </xf>
    <xf numFmtId="0" fontId="21" fillId="0" borderId="9" xfId="117" applyFont="1" applyFill="1" applyBorder="1" applyAlignment="1">
      <alignment horizontal="center" vertical="center"/>
      <protection/>
    </xf>
    <xf numFmtId="0" fontId="21" fillId="0" borderId="9" xfId="117" applyFont="1" applyFill="1" applyBorder="1" applyAlignment="1">
      <alignment horizontal="left" vertical="center" wrapText="1"/>
      <protection/>
    </xf>
    <xf numFmtId="0" fontId="60" fillId="0" borderId="9" xfId="117" applyFont="1" applyFill="1" applyBorder="1" applyAlignment="1">
      <alignment horizontal="center" vertical="center"/>
      <protection/>
    </xf>
    <xf numFmtId="0" fontId="60" fillId="0" borderId="9" xfId="117" applyFont="1" applyFill="1" applyBorder="1" applyAlignment="1">
      <alignment horizontal="left" vertical="center" wrapText="1"/>
      <protection/>
    </xf>
    <xf numFmtId="0" fontId="60" fillId="0" borderId="9" xfId="103" applyFont="1" applyFill="1" applyBorder="1" applyAlignment="1">
      <alignment horizontal="center" vertical="center"/>
      <protection/>
    </xf>
    <xf numFmtId="2" fontId="60" fillId="0" borderId="9" xfId="103" applyNumberFormat="1" applyFont="1" applyFill="1" applyBorder="1" applyAlignment="1">
      <alignment horizontal="left" vertical="center" wrapText="1"/>
      <protection/>
    </xf>
    <xf numFmtId="0" fontId="21" fillId="0" borderId="9" xfId="0" applyFont="1" applyFill="1" applyBorder="1" applyAlignment="1">
      <alignment vertical="center" wrapText="1"/>
    </xf>
    <xf numFmtId="0" fontId="16" fillId="0" borderId="0" xfId="114" applyFont="1" applyFill="1" applyAlignment="1">
      <alignment horizontal="left" vertical="center" wrapText="1"/>
      <protection/>
    </xf>
    <xf numFmtId="0" fontId="20" fillId="0" borderId="9" xfId="107" applyFont="1" applyFill="1" applyBorder="1" applyAlignment="1" quotePrefix="1">
      <alignment vertical="center" wrapText="1"/>
      <protection/>
    </xf>
    <xf numFmtId="4" fontId="16" fillId="0" borderId="9" xfId="59" applyNumberFormat="1" applyFont="1" applyFill="1" applyBorder="1" applyAlignment="1">
      <alignment horizontal="right" vertical="center"/>
    </xf>
    <xf numFmtId="4" fontId="20" fillId="0" borderId="9" xfId="50" applyNumberFormat="1" applyFont="1" applyFill="1" applyBorder="1" applyAlignment="1">
      <alignment horizontal="right" vertical="center"/>
    </xf>
    <xf numFmtId="174" fontId="20" fillId="0" borderId="9" xfId="59" applyNumberFormat="1" applyFont="1" applyFill="1" applyBorder="1" applyAlignment="1">
      <alignment horizontal="right" vertical="center"/>
    </xf>
    <xf numFmtId="174" fontId="20" fillId="0" borderId="9" xfId="56" applyNumberFormat="1" applyFont="1" applyFill="1" applyBorder="1" applyAlignment="1">
      <alignment horizontal="right" vertical="center"/>
    </xf>
    <xf numFmtId="175" fontId="20" fillId="0" borderId="9" xfId="56" applyNumberFormat="1" applyFont="1" applyFill="1" applyBorder="1" applyAlignment="1">
      <alignment horizontal="right" vertical="center"/>
    </xf>
    <xf numFmtId="43" fontId="20" fillId="0" borderId="9" xfId="50" applyFont="1" applyFill="1" applyBorder="1" applyAlignment="1">
      <alignment vertical="center" wrapText="1"/>
    </xf>
    <xf numFmtId="178" fontId="20" fillId="0" borderId="9" xfId="50" applyNumberFormat="1" applyFont="1" applyFill="1" applyBorder="1" applyAlignment="1">
      <alignment vertical="center" wrapText="1"/>
    </xf>
    <xf numFmtId="0" fontId="66" fillId="0" borderId="9" xfId="113" applyFont="1" applyBorder="1" applyAlignment="1">
      <alignment horizontal="right" vertical="center" wrapText="1"/>
      <protection/>
    </xf>
    <xf numFmtId="0" fontId="16" fillId="0" borderId="9" xfId="0" applyFont="1" applyFill="1" applyBorder="1" applyAlignment="1">
      <alignment horizontal="right" vertical="center" wrapText="1"/>
    </xf>
    <xf numFmtId="0" fontId="77" fillId="0" borderId="9" xfId="113" applyFont="1" applyBorder="1" applyAlignment="1">
      <alignment horizontal="right" vertical="center" wrapText="1"/>
      <protection/>
    </xf>
    <xf numFmtId="0" fontId="77" fillId="0" borderId="9" xfId="113" applyFont="1" applyBorder="1" applyAlignment="1">
      <alignment horizontal="right" wrapText="1"/>
      <protection/>
    </xf>
    <xf numFmtId="0" fontId="21" fillId="0" borderId="9" xfId="0" applyFont="1" applyFill="1" applyBorder="1" applyAlignment="1">
      <alignment horizontal="right" vertical="center"/>
    </xf>
    <xf numFmtId="0" fontId="21" fillId="0" borderId="9" xfId="0" applyFont="1" applyBorder="1" applyAlignment="1">
      <alignment horizontal="right" vertical="center"/>
    </xf>
    <xf numFmtId="178" fontId="66" fillId="0" borderId="9" xfId="52" applyNumberFormat="1" applyFont="1" applyBorder="1" applyAlignment="1">
      <alignment horizontal="right" vertical="center" wrapText="1"/>
    </xf>
    <xf numFmtId="3" fontId="21" fillId="0" borderId="9" xfId="0" applyNumberFormat="1" applyFont="1" applyFill="1" applyBorder="1" applyAlignment="1" quotePrefix="1">
      <alignment horizontal="right" vertical="center"/>
    </xf>
    <xf numFmtId="3" fontId="21" fillId="0" borderId="9" xfId="0" applyNumberFormat="1" applyFont="1" applyBorder="1" applyAlignment="1">
      <alignment horizontal="right" vertical="center"/>
    </xf>
    <xf numFmtId="178" fontId="77" fillId="0" borderId="9" xfId="56" applyNumberFormat="1" applyFont="1" applyBorder="1" applyAlignment="1">
      <alignment horizontal="right" vertical="center" wrapText="1"/>
    </xf>
    <xf numFmtId="178" fontId="77" fillId="0" borderId="9" xfId="56" applyNumberFormat="1" applyFont="1" applyBorder="1" applyAlignment="1">
      <alignment horizontal="right" vertical="center" wrapText="1"/>
    </xf>
    <xf numFmtId="174" fontId="16" fillId="0" borderId="9" xfId="50" applyNumberFormat="1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horizontal="right" vertical="center"/>
    </xf>
    <xf numFmtId="175" fontId="16" fillId="0" borderId="9" xfId="59" applyNumberFormat="1" applyFont="1" applyFill="1" applyBorder="1" applyAlignment="1">
      <alignment horizontal="right" vertical="center"/>
    </xf>
    <xf numFmtId="174" fontId="16" fillId="0" borderId="37" xfId="62" applyNumberFormat="1" applyFont="1" applyFill="1" applyBorder="1" applyAlignment="1">
      <alignment horizontal="right" vertical="center"/>
    </xf>
    <xf numFmtId="175" fontId="16" fillId="0" borderId="37" xfId="62" applyNumberFormat="1" applyFont="1" applyFill="1" applyBorder="1" applyAlignment="1">
      <alignment horizontal="right" vertical="center"/>
    </xf>
    <xf numFmtId="174" fontId="16" fillId="0" borderId="9" xfId="52" applyNumberFormat="1" applyFont="1" applyFill="1" applyBorder="1" applyAlignment="1">
      <alignment vertical="center" wrapText="1"/>
    </xf>
    <xf numFmtId="175" fontId="16" fillId="0" borderId="9" xfId="52" applyNumberFormat="1" applyFont="1" applyFill="1" applyBorder="1" applyAlignment="1">
      <alignment vertical="center"/>
    </xf>
    <xf numFmtId="178" fontId="16" fillId="0" borderId="9" xfId="50" applyNumberFormat="1" applyFont="1" applyFill="1" applyBorder="1" applyAlignment="1">
      <alignment vertical="center" wrapText="1"/>
    </xf>
    <xf numFmtId="3" fontId="20" fillId="0" borderId="9" xfId="52" applyNumberFormat="1" applyFont="1" applyFill="1" applyBorder="1" applyAlignment="1">
      <alignment vertical="center" wrapText="1"/>
    </xf>
    <xf numFmtId="3" fontId="16" fillId="0" borderId="9" xfId="52" applyNumberFormat="1" applyFont="1" applyFill="1" applyBorder="1" applyAlignment="1">
      <alignment vertical="center" wrapText="1"/>
    </xf>
    <xf numFmtId="1" fontId="16" fillId="0" borderId="9" xfId="103" applyNumberFormat="1" applyFont="1" applyFill="1" applyBorder="1" applyAlignment="1">
      <alignment vertical="center" wrapText="1"/>
      <protection/>
    </xf>
    <xf numFmtId="178" fontId="16" fillId="0" borderId="9" xfId="58" applyNumberFormat="1" applyFont="1" applyFill="1" applyBorder="1" applyAlignment="1">
      <alignment vertical="center" wrapText="1"/>
    </xf>
    <xf numFmtId="4" fontId="20" fillId="0" borderId="9" xfId="52" applyNumberFormat="1" applyFont="1" applyFill="1" applyBorder="1" applyAlignment="1">
      <alignment vertical="center" wrapText="1"/>
    </xf>
    <xf numFmtId="177" fontId="20" fillId="0" borderId="9" xfId="103" applyNumberFormat="1" applyFont="1" applyFill="1" applyBorder="1" applyAlignment="1">
      <alignment vertical="center" wrapText="1"/>
      <protection/>
    </xf>
    <xf numFmtId="174" fontId="20" fillId="0" borderId="9" xfId="58" applyNumberFormat="1" applyFont="1" applyFill="1" applyBorder="1" applyAlignment="1">
      <alignment vertical="center" wrapText="1"/>
    </xf>
    <xf numFmtId="178" fontId="20" fillId="0" borderId="9" xfId="103" applyNumberFormat="1" applyFont="1" applyFill="1" applyBorder="1" applyAlignment="1">
      <alignment vertical="center" wrapText="1"/>
      <protection/>
    </xf>
    <xf numFmtId="178" fontId="20" fillId="0" borderId="9" xfId="58" applyNumberFormat="1" applyFont="1" applyFill="1" applyBorder="1" applyAlignment="1">
      <alignment vertical="center" wrapText="1"/>
    </xf>
    <xf numFmtId="178" fontId="16" fillId="0" borderId="9" xfId="103" applyNumberFormat="1" applyFont="1" applyFill="1" applyBorder="1" applyAlignment="1">
      <alignment vertical="center" wrapText="1"/>
      <protection/>
    </xf>
    <xf numFmtId="174" fontId="72" fillId="0" borderId="9" xfId="52" applyNumberFormat="1" applyFont="1" applyFill="1" applyBorder="1" applyAlignment="1">
      <alignment vertical="center" wrapText="1"/>
    </xf>
    <xf numFmtId="200" fontId="20" fillId="0" borderId="9" xfId="52" applyNumberFormat="1" applyFont="1" applyFill="1" applyBorder="1" applyAlignment="1">
      <alignment vertical="center"/>
    </xf>
    <xf numFmtId="200" fontId="16" fillId="0" borderId="9" xfId="52" applyNumberFormat="1" applyFont="1" applyFill="1" applyBorder="1" applyAlignment="1">
      <alignment vertical="center"/>
    </xf>
    <xf numFmtId="200" fontId="16" fillId="0" borderId="9" xfId="113" applyNumberFormat="1" applyFont="1" applyFill="1" applyBorder="1" applyAlignment="1">
      <alignment vertical="center"/>
      <protection/>
    </xf>
    <xf numFmtId="178" fontId="20" fillId="0" borderId="9" xfId="52" applyNumberFormat="1" applyFont="1" applyFill="1" applyBorder="1" applyAlignment="1">
      <alignment vertical="center" wrapText="1"/>
    </xf>
    <xf numFmtId="178" fontId="20" fillId="0" borderId="9" xfId="52" applyNumberFormat="1" applyFont="1" applyFill="1" applyBorder="1" applyAlignment="1">
      <alignment vertical="center"/>
    </xf>
    <xf numFmtId="200" fontId="20" fillId="0" borderId="9" xfId="113" applyNumberFormat="1" applyFont="1" applyFill="1" applyBorder="1" applyAlignment="1">
      <alignment vertical="center"/>
      <protection/>
    </xf>
    <xf numFmtId="4" fontId="72" fillId="0" borderId="9" xfId="52" applyNumberFormat="1" applyFont="1" applyFill="1" applyBorder="1" applyAlignment="1">
      <alignment vertical="center"/>
    </xf>
    <xf numFmtId="3" fontId="21" fillId="0" borderId="9" xfId="52" applyNumberFormat="1" applyFont="1" applyFill="1" applyBorder="1" applyAlignment="1">
      <alignment vertical="center" wrapText="1"/>
    </xf>
    <xf numFmtId="174" fontId="20" fillId="0" borderId="9" xfId="52" applyNumberFormat="1" applyFont="1" applyFill="1" applyBorder="1" applyAlignment="1">
      <alignment vertical="center" wrapText="1"/>
    </xf>
    <xf numFmtId="175" fontId="20" fillId="0" borderId="9" xfId="52" applyNumberFormat="1" applyFont="1" applyFill="1" applyBorder="1" applyAlignment="1">
      <alignment vertical="center"/>
    </xf>
    <xf numFmtId="3" fontId="61" fillId="0" borderId="9" xfId="52" applyNumberFormat="1" applyFont="1" applyFill="1" applyBorder="1" applyAlignment="1">
      <alignment vertical="center" wrapText="1"/>
    </xf>
    <xf numFmtId="3" fontId="61" fillId="0" borderId="9" xfId="52" applyNumberFormat="1" applyFont="1" applyFill="1" applyBorder="1" applyAlignment="1">
      <alignment vertical="center"/>
    </xf>
    <xf numFmtId="174" fontId="61" fillId="0" borderId="9" xfId="52" applyNumberFormat="1" applyFont="1" applyFill="1" applyBorder="1" applyAlignment="1">
      <alignment vertical="center" wrapText="1"/>
    </xf>
    <xf numFmtId="174" fontId="60" fillId="0" borderId="9" xfId="56" applyNumberFormat="1" applyFont="1" applyFill="1" applyBorder="1" applyAlignment="1">
      <alignment vertical="center" wrapText="1"/>
    </xf>
    <xf numFmtId="175" fontId="61" fillId="0" borderId="9" xfId="52" applyNumberFormat="1" applyFont="1" applyFill="1" applyBorder="1" applyAlignment="1">
      <alignment vertical="center"/>
    </xf>
    <xf numFmtId="174" fontId="21" fillId="0" borderId="9" xfId="52" applyNumberFormat="1" applyFont="1" applyFill="1" applyBorder="1" applyAlignment="1" quotePrefix="1">
      <alignment vertical="center" wrapText="1"/>
    </xf>
    <xf numFmtId="3" fontId="21" fillId="0" borderId="9" xfId="52" applyNumberFormat="1" applyFont="1" applyFill="1" applyBorder="1" applyAlignment="1">
      <alignment vertical="center"/>
    </xf>
    <xf numFmtId="3" fontId="21" fillId="0" borderId="9" xfId="56" applyNumberFormat="1" applyFont="1" applyFill="1" applyBorder="1" applyAlignment="1">
      <alignment vertical="center"/>
    </xf>
    <xf numFmtId="3" fontId="61" fillId="0" borderId="9" xfId="56" applyNumberFormat="1" applyFont="1" applyFill="1" applyBorder="1" applyAlignment="1">
      <alignment vertical="center"/>
    </xf>
    <xf numFmtId="3" fontId="61" fillId="0" borderId="9" xfId="56" applyNumberFormat="1" applyFont="1" applyFill="1" applyBorder="1" applyAlignment="1">
      <alignment vertical="center" wrapText="1"/>
    </xf>
    <xf numFmtId="174" fontId="61" fillId="0" borderId="9" xfId="56" applyNumberFormat="1" applyFont="1" applyFill="1" applyBorder="1" applyAlignment="1">
      <alignment vertical="center" wrapText="1"/>
    </xf>
    <xf numFmtId="175" fontId="61" fillId="0" borderId="9" xfId="56" applyNumberFormat="1" applyFont="1" applyFill="1" applyBorder="1" applyAlignment="1">
      <alignment vertical="center"/>
    </xf>
    <xf numFmtId="49" fontId="21" fillId="0" borderId="9" xfId="0" applyNumberFormat="1" applyFont="1" applyFill="1" applyBorder="1" applyAlignment="1">
      <alignment vertical="center" wrapText="1"/>
    </xf>
    <xf numFmtId="0" fontId="20" fillId="0" borderId="0" xfId="114" applyFont="1" applyFill="1" applyAlignment="1">
      <alignment horizontal="right" vertical="center"/>
      <protection/>
    </xf>
    <xf numFmtId="43" fontId="20" fillId="0" borderId="0" xfId="50" applyNumberFormat="1" applyFont="1" applyFill="1" applyAlignment="1">
      <alignment horizontal="right" vertical="center"/>
    </xf>
    <xf numFmtId="0" fontId="16" fillId="34" borderId="9" xfId="0" applyFont="1" applyFill="1" applyBorder="1" applyAlignment="1">
      <alignment horizontal="center" vertical="center" wrapText="1"/>
    </xf>
    <xf numFmtId="174" fontId="21" fillId="0" borderId="9" xfId="52" applyNumberFormat="1" applyFont="1" applyFill="1" applyBorder="1" applyAlignment="1">
      <alignment horizontal="center" vertical="center" wrapText="1"/>
    </xf>
    <xf numFmtId="0" fontId="61" fillId="0" borderId="9" xfId="114" applyFont="1" applyFill="1" applyBorder="1" applyAlignment="1">
      <alignment vertical="center" wrapText="1"/>
      <protection/>
    </xf>
    <xf numFmtId="0" fontId="21" fillId="0" borderId="9" xfId="114" applyFont="1" applyFill="1" applyBorder="1" applyAlignment="1">
      <alignment horizontal="center" vertical="center" wrapText="1"/>
      <protection/>
    </xf>
    <xf numFmtId="0" fontId="16" fillId="34" borderId="9" xfId="113" applyFont="1" applyFill="1" applyBorder="1" applyAlignment="1">
      <alignment horizontal="center" vertical="center" wrapText="1"/>
      <protection/>
    </xf>
    <xf numFmtId="0" fontId="20" fillId="34" borderId="0" xfId="113" applyFont="1" applyFill="1" applyAlignment="1">
      <alignment wrapText="1"/>
      <protection/>
    </xf>
    <xf numFmtId="0" fontId="16" fillId="34" borderId="9" xfId="0" applyFont="1" applyFill="1" applyBorder="1" applyAlignment="1">
      <alignment horizontal="left" vertical="center" wrapText="1"/>
    </xf>
    <xf numFmtId="0" fontId="16" fillId="34" borderId="9" xfId="113" applyFont="1" applyFill="1" applyBorder="1" applyAlignment="1">
      <alignment vertical="center" wrapText="1"/>
      <protection/>
    </xf>
    <xf numFmtId="0" fontId="16" fillId="34" borderId="37" xfId="113" applyFont="1" applyFill="1" applyBorder="1" applyAlignment="1">
      <alignment vertical="center" wrapText="1"/>
      <protection/>
    </xf>
    <xf numFmtId="0" fontId="16" fillId="34" borderId="26" xfId="113" applyFont="1" applyFill="1" applyBorder="1" applyAlignment="1">
      <alignment vertical="center" wrapText="1"/>
      <protection/>
    </xf>
    <xf numFmtId="1" fontId="20" fillId="34" borderId="9" xfId="0" applyNumberFormat="1" applyFont="1" applyFill="1" applyBorder="1" applyAlignment="1">
      <alignment horizontal="center" vertical="center" wrapText="1"/>
    </xf>
    <xf numFmtId="0" fontId="20" fillId="34" borderId="9" xfId="0" applyFont="1" applyFill="1" applyBorder="1" applyAlignment="1" quotePrefix="1">
      <alignment horizontal="left" vertical="center" wrapText="1"/>
    </xf>
    <xf numFmtId="0" fontId="20" fillId="34" borderId="9" xfId="0" applyFont="1" applyFill="1" applyBorder="1" applyAlignment="1">
      <alignment horizontal="center" vertical="center" wrapText="1"/>
    </xf>
    <xf numFmtId="0" fontId="20" fillId="34" borderId="9" xfId="113" applyFont="1" applyFill="1" applyBorder="1" applyAlignment="1">
      <alignment vertical="center" wrapText="1"/>
      <protection/>
    </xf>
    <xf numFmtId="1" fontId="20" fillId="34" borderId="37" xfId="113" applyNumberFormat="1" applyFont="1" applyFill="1" applyBorder="1" applyAlignment="1">
      <alignment vertical="center" wrapText="1"/>
      <protection/>
    </xf>
    <xf numFmtId="0" fontId="20" fillId="34" borderId="26" xfId="113" applyFont="1" applyFill="1" applyBorder="1" applyAlignment="1">
      <alignment vertical="center" wrapText="1"/>
      <protection/>
    </xf>
    <xf numFmtId="0" fontId="16" fillId="34" borderId="9" xfId="113" applyFont="1" applyFill="1" applyBorder="1" applyAlignment="1">
      <alignment horizontal="left" vertical="center" wrapText="1"/>
      <protection/>
    </xf>
    <xf numFmtId="1" fontId="20" fillId="0" borderId="9" xfId="113" applyNumberFormat="1" applyFont="1" applyFill="1" applyBorder="1" applyAlignment="1">
      <alignment vertical="center" wrapText="1"/>
      <protection/>
    </xf>
    <xf numFmtId="0" fontId="20" fillId="34" borderId="9" xfId="0" applyFont="1" applyFill="1" applyBorder="1" applyAlignment="1">
      <alignment vertical="center"/>
    </xf>
    <xf numFmtId="0" fontId="72" fillId="34" borderId="9" xfId="113" applyFont="1" applyFill="1" applyBorder="1" applyAlignment="1">
      <alignment vertical="center" wrapText="1"/>
      <protection/>
    </xf>
    <xf numFmtId="0" fontId="20" fillId="34" borderId="9" xfId="113" applyFont="1" applyFill="1" applyBorder="1" applyAlignment="1" quotePrefix="1">
      <alignment horizontal="center" vertical="center" wrapText="1"/>
      <protection/>
    </xf>
    <xf numFmtId="3" fontId="20" fillId="34" borderId="9" xfId="0" applyNumberFormat="1" applyFont="1" applyFill="1" applyBorder="1" applyAlignment="1" quotePrefix="1">
      <alignment vertical="center"/>
    </xf>
    <xf numFmtId="178" fontId="16" fillId="34" borderId="9" xfId="52" applyNumberFormat="1" applyFont="1" applyFill="1" applyBorder="1" applyAlignment="1">
      <alignment vertical="center" wrapText="1"/>
    </xf>
    <xf numFmtId="178" fontId="16" fillId="34" borderId="9" xfId="56" applyNumberFormat="1" applyFont="1" applyFill="1" applyBorder="1" applyAlignment="1">
      <alignment horizontal="center" vertical="center" wrapText="1"/>
    </xf>
    <xf numFmtId="0" fontId="21" fillId="34" borderId="9" xfId="0" applyFont="1" applyFill="1" applyBorder="1" applyAlignment="1">
      <alignment horizontal="center" vertical="center" wrapText="1"/>
    </xf>
    <xf numFmtId="0" fontId="61" fillId="34" borderId="9" xfId="113" applyFont="1" applyFill="1" applyBorder="1" applyAlignment="1">
      <alignment horizontal="center" vertical="center" wrapText="1"/>
      <protection/>
    </xf>
    <xf numFmtId="0" fontId="21" fillId="34" borderId="9" xfId="113" applyFont="1" applyFill="1" applyBorder="1" applyAlignment="1">
      <alignment horizontal="center" vertical="center" wrapText="1"/>
      <protection/>
    </xf>
    <xf numFmtId="0" fontId="87" fillId="0" borderId="0" xfId="0" applyFont="1" applyFill="1" applyAlignment="1">
      <alignment vertical="center"/>
    </xf>
    <xf numFmtId="43" fontId="20" fillId="0" borderId="9" xfId="50" applyFont="1" applyFill="1" applyBorder="1" applyAlignment="1" quotePrefix="1">
      <alignment horizontal="left" vertical="center" wrapText="1"/>
    </xf>
    <xf numFmtId="43" fontId="20" fillId="0" borderId="9" xfId="50" applyFont="1" applyFill="1" applyBorder="1" applyAlignment="1">
      <alignment horizontal="left" vertical="center" wrapText="1"/>
    </xf>
    <xf numFmtId="43" fontId="20" fillId="0" borderId="9" xfId="50" applyFont="1" applyFill="1" applyBorder="1" applyAlignment="1">
      <alignment horizontal="left" vertical="center"/>
    </xf>
    <xf numFmtId="43" fontId="20" fillId="0" borderId="9" xfId="50" applyFont="1" applyFill="1" applyBorder="1" applyAlignment="1" quotePrefix="1">
      <alignment horizontal="right" vertical="center"/>
    </xf>
    <xf numFmtId="178" fontId="77" fillId="0" borderId="9" xfId="52" applyNumberFormat="1" applyFont="1" applyBorder="1" applyAlignment="1">
      <alignment horizontal="right" vertical="center" wrapText="1"/>
    </xf>
    <xf numFmtId="178" fontId="77" fillId="0" borderId="9" xfId="56" applyNumberFormat="1" applyFont="1" applyFill="1" applyBorder="1" applyAlignment="1">
      <alignment horizontal="center" vertical="center" wrapText="1"/>
    </xf>
    <xf numFmtId="176" fontId="20" fillId="0" borderId="9" xfId="52" applyNumberFormat="1" applyFont="1" applyFill="1" applyBorder="1" applyAlignment="1">
      <alignment horizontal="right" vertical="center"/>
    </xf>
    <xf numFmtId="0" fontId="21" fillId="0" borderId="37" xfId="0" applyFont="1" applyFill="1" applyBorder="1" applyAlignment="1">
      <alignment horizontal="center" vertical="center" wrapText="1"/>
    </xf>
    <xf numFmtId="174" fontId="63" fillId="0" borderId="9" xfId="50" applyNumberFormat="1" applyFont="1" applyFill="1" applyBorder="1" applyAlignment="1">
      <alignment horizontal="center" vertical="center" wrapText="1"/>
    </xf>
    <xf numFmtId="43" fontId="63" fillId="0" borderId="9" xfId="50" applyNumberFormat="1" applyFont="1" applyFill="1" applyBorder="1" applyAlignment="1">
      <alignment horizontal="center" vertical="center" wrapText="1"/>
    </xf>
    <xf numFmtId="171" fontId="37" fillId="0" borderId="0" xfId="0" applyNumberFormat="1" applyFont="1" applyFill="1" applyAlignment="1">
      <alignment vertical="center"/>
    </xf>
    <xf numFmtId="174" fontId="20" fillId="0" borderId="39" xfId="50" applyNumberFormat="1" applyFont="1" applyFill="1" applyBorder="1" applyAlignment="1">
      <alignment horizontal="center" vertical="center" wrapText="1"/>
    </xf>
    <xf numFmtId="174" fontId="83" fillId="0" borderId="9" xfId="52" applyNumberFormat="1" applyFont="1" applyFill="1" applyBorder="1" applyAlignment="1">
      <alignment horizontal="center" vertical="center" wrapText="1"/>
    </xf>
    <xf numFmtId="43" fontId="37" fillId="0" borderId="9" xfId="50" applyFont="1" applyFill="1" applyBorder="1" applyAlignment="1">
      <alignment horizontal="right" vertical="center"/>
    </xf>
    <xf numFmtId="43" fontId="37" fillId="0" borderId="0" xfId="50" applyFont="1" applyFill="1" applyAlignment="1">
      <alignment horizontal="right" vertical="center"/>
    </xf>
    <xf numFmtId="174" fontId="61" fillId="0" borderId="9" xfId="52" applyNumberFormat="1" applyFont="1" applyFill="1" applyBorder="1" applyAlignment="1">
      <alignment horizontal="center" vertical="center" wrapText="1"/>
    </xf>
    <xf numFmtId="0" fontId="16" fillId="0" borderId="1" xfId="114" applyFont="1" applyFill="1" applyBorder="1" applyAlignment="1">
      <alignment horizontal="center" vertical="center" wrapText="1"/>
      <protection/>
    </xf>
    <xf numFmtId="178" fontId="16" fillId="0" borderId="9" xfId="113" applyNumberFormat="1" applyFont="1" applyFill="1" applyBorder="1" applyAlignment="1">
      <alignment horizontal="right" vertical="center"/>
      <protection/>
    </xf>
    <xf numFmtId="171" fontId="20" fillId="0" borderId="0" xfId="0" applyNumberFormat="1" applyFont="1" applyFill="1" applyAlignment="1">
      <alignment vertical="center"/>
    </xf>
    <xf numFmtId="174" fontId="20" fillId="0" borderId="9" xfId="0" applyNumberFormat="1" applyFont="1" applyFill="1" applyBorder="1" applyAlignment="1" quotePrefix="1">
      <alignment horizontal="right" vertical="center" wrapText="1"/>
    </xf>
    <xf numFmtId="0" fontId="20" fillId="0" borderId="9" xfId="50" applyNumberFormat="1" applyFont="1" applyFill="1" applyBorder="1" applyAlignment="1">
      <alignment horizontal="right" vertical="center"/>
    </xf>
    <xf numFmtId="0" fontId="72" fillId="0" borderId="9" xfId="113" applyFont="1" applyFill="1" applyBorder="1" applyAlignment="1">
      <alignment horizontal="left" vertical="center" wrapText="1"/>
      <protection/>
    </xf>
    <xf numFmtId="178" fontId="20" fillId="0" borderId="9" xfId="66" applyNumberFormat="1" applyFont="1" applyFill="1" applyBorder="1" applyAlignment="1">
      <alignment horizontal="right" vertical="center" wrapText="1"/>
    </xf>
    <xf numFmtId="178" fontId="21" fillId="0" borderId="9" xfId="66" applyNumberFormat="1" applyFont="1" applyFill="1" applyBorder="1" applyAlignment="1">
      <alignment vertical="center" wrapText="1"/>
    </xf>
    <xf numFmtId="0" fontId="20" fillId="0" borderId="37" xfId="0" applyFont="1" applyFill="1" applyBorder="1" applyAlignment="1" quotePrefix="1">
      <alignment horizontal="left" vertical="center" wrapText="1"/>
    </xf>
    <xf numFmtId="0" fontId="20" fillId="0" borderId="37" xfId="0" applyFont="1" applyFill="1" applyBorder="1" applyAlignment="1">
      <alignment horizontal="center" vertical="center" wrapText="1"/>
    </xf>
    <xf numFmtId="178" fontId="20" fillId="0" borderId="9" xfId="66" applyNumberFormat="1" applyFont="1" applyFill="1" applyBorder="1" applyAlignment="1">
      <alignment horizontal="right" vertical="center"/>
    </xf>
    <xf numFmtId="171" fontId="20" fillId="0" borderId="9" xfId="66" applyNumberFormat="1" applyFont="1" applyFill="1" applyBorder="1" applyAlignment="1">
      <alignment horizontal="right" vertical="center"/>
    </xf>
    <xf numFmtId="178" fontId="20" fillId="0" borderId="9" xfId="66" applyNumberFormat="1" applyFont="1" applyFill="1" applyBorder="1" applyAlignment="1">
      <alignment horizontal="center" vertical="center" wrapText="1"/>
    </xf>
    <xf numFmtId="178" fontId="20" fillId="0" borderId="9" xfId="66" applyNumberFormat="1" applyFont="1" applyFill="1" applyBorder="1" applyAlignment="1" quotePrefix="1">
      <alignment horizontal="right" vertical="center"/>
    </xf>
    <xf numFmtId="0" fontId="20" fillId="0" borderId="9" xfId="0" applyFont="1" applyFill="1" applyBorder="1" applyAlignment="1" quotePrefix="1">
      <alignment vertical="center" wrapText="1"/>
    </xf>
    <xf numFmtId="171" fontId="20" fillId="0" borderId="9" xfId="66" applyNumberFormat="1" applyFont="1" applyFill="1" applyBorder="1" applyAlignment="1">
      <alignment vertical="center"/>
    </xf>
    <xf numFmtId="174" fontId="20" fillId="0" borderId="9" xfId="66" applyNumberFormat="1" applyFont="1" applyFill="1" applyBorder="1" applyAlignment="1">
      <alignment vertical="center"/>
    </xf>
    <xf numFmtId="174" fontId="20" fillId="0" borderId="9" xfId="66" applyNumberFormat="1" applyFont="1" applyFill="1" applyBorder="1" applyAlignment="1">
      <alignment horizontal="right" vertical="center"/>
    </xf>
    <xf numFmtId="0" fontId="20" fillId="0" borderId="9" xfId="113" applyFont="1" applyFill="1" applyBorder="1" applyAlignment="1">
      <alignment horizontal="justify" vertical="center" wrapText="1"/>
      <protection/>
    </xf>
    <xf numFmtId="174" fontId="20" fillId="0" borderId="9" xfId="57" applyNumberFormat="1" applyFont="1" applyFill="1" applyBorder="1" applyAlignment="1">
      <alignment horizontal="center" vertical="center" wrapText="1"/>
    </xf>
    <xf numFmtId="174" fontId="20" fillId="0" borderId="9" xfId="57" applyNumberFormat="1" applyFont="1" applyFill="1" applyBorder="1" applyAlignment="1">
      <alignment horizontal="right" vertical="center" wrapText="1"/>
    </xf>
    <xf numFmtId="174" fontId="20" fillId="0" borderId="9" xfId="60" applyNumberFormat="1" applyFont="1" applyFill="1" applyBorder="1" applyAlignment="1">
      <alignment horizontal="right" vertical="center"/>
    </xf>
    <xf numFmtId="175" fontId="20" fillId="0" borderId="9" xfId="57" applyNumberFormat="1" applyFont="1" applyFill="1" applyBorder="1" applyAlignment="1">
      <alignment horizontal="center" vertical="center"/>
    </xf>
    <xf numFmtId="0" fontId="20" fillId="0" borderId="9" xfId="113" applyFont="1" applyFill="1" applyBorder="1" applyAlignment="1" quotePrefix="1">
      <alignment horizontal="justify" vertical="center" wrapText="1"/>
      <protection/>
    </xf>
    <xf numFmtId="178" fontId="20" fillId="0" borderId="9" xfId="60" applyNumberFormat="1" applyFont="1" applyFill="1" applyBorder="1" applyAlignment="1">
      <alignment horizontal="right" vertical="center" wrapText="1"/>
    </xf>
    <xf numFmtId="174" fontId="20" fillId="0" borderId="9" xfId="60" applyNumberFormat="1" applyFont="1" applyFill="1" applyBorder="1" applyAlignment="1">
      <alignment horizontal="right" vertical="center" wrapText="1"/>
    </xf>
    <xf numFmtId="174" fontId="20" fillId="0" borderId="9" xfId="60" applyNumberFormat="1" applyFont="1" applyFill="1" applyBorder="1" applyAlignment="1">
      <alignment vertical="center"/>
    </xf>
    <xf numFmtId="171" fontId="20" fillId="0" borderId="9" xfId="60" applyNumberFormat="1" applyFont="1" applyFill="1" applyBorder="1" applyAlignment="1">
      <alignment horizontal="center" vertical="center"/>
    </xf>
    <xf numFmtId="171" fontId="20" fillId="0" borderId="9" xfId="60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justify" vertical="center" wrapText="1"/>
    </xf>
    <xf numFmtId="178" fontId="20" fillId="0" borderId="9" xfId="60" applyNumberFormat="1" applyFont="1" applyFill="1" applyBorder="1" applyAlignment="1">
      <alignment horizontal="right" vertical="center"/>
    </xf>
    <xf numFmtId="171" fontId="20" fillId="0" borderId="9" xfId="60" applyFont="1" applyFill="1" applyBorder="1" applyAlignment="1">
      <alignment horizontal="center" vertical="center"/>
    </xf>
    <xf numFmtId="171" fontId="20" fillId="0" borderId="9" xfId="60" applyNumberFormat="1" applyFont="1" applyFill="1" applyBorder="1" applyAlignment="1">
      <alignment horizontal="right" vertical="center" wrapText="1"/>
    </xf>
    <xf numFmtId="178" fontId="20" fillId="0" borderId="9" xfId="60" applyNumberFormat="1" applyFont="1" applyFill="1" applyBorder="1" applyAlignment="1">
      <alignment horizontal="center" vertical="center"/>
    </xf>
    <xf numFmtId="171" fontId="20" fillId="0" borderId="9" xfId="57" applyNumberFormat="1" applyFont="1" applyFill="1" applyBorder="1" applyAlignment="1">
      <alignment horizontal="right" vertical="center"/>
    </xf>
    <xf numFmtId="171" fontId="20" fillId="0" borderId="9" xfId="57" applyNumberFormat="1" applyFont="1" applyFill="1" applyBorder="1" applyAlignment="1">
      <alignment horizontal="right" vertical="center" wrapText="1"/>
    </xf>
    <xf numFmtId="178" fontId="20" fillId="0" borderId="9" xfId="113" applyNumberFormat="1" applyFont="1" applyFill="1" applyBorder="1" applyAlignment="1">
      <alignment vertical="center"/>
      <protection/>
    </xf>
    <xf numFmtId="0" fontId="20" fillId="0" borderId="9" xfId="114" applyFont="1" applyFill="1" applyBorder="1" applyAlignment="1">
      <alignment vertical="center"/>
      <protection/>
    </xf>
    <xf numFmtId="0" fontId="16" fillId="0" borderId="9" xfId="114" applyFont="1" applyFill="1" applyBorder="1" applyAlignment="1">
      <alignment vertical="center"/>
      <protection/>
    </xf>
    <xf numFmtId="43" fontId="16" fillId="0" borderId="9" xfId="50" applyNumberFormat="1" applyFont="1" applyFill="1" applyBorder="1" applyAlignment="1">
      <alignment horizontal="center" vertical="center"/>
    </xf>
    <xf numFmtId="43" fontId="20" fillId="0" borderId="9" xfId="50" applyNumberFormat="1" applyFont="1" applyFill="1" applyBorder="1" applyAlignment="1">
      <alignment horizontal="center" vertical="center"/>
    </xf>
    <xf numFmtId="43" fontId="16" fillId="0" borderId="9" xfId="50" applyNumberFormat="1" applyFont="1" applyFill="1" applyBorder="1" applyAlignment="1" quotePrefix="1">
      <alignment horizontal="right" vertical="center" wrapText="1"/>
    </xf>
    <xf numFmtId="171" fontId="16" fillId="0" borderId="0" xfId="0" applyNumberFormat="1" applyFont="1" applyFill="1" applyAlignment="1">
      <alignment vertical="center"/>
    </xf>
    <xf numFmtId="174" fontId="60" fillId="0" borderId="9" xfId="52" applyNumberFormat="1" applyFont="1" applyFill="1" applyBorder="1" applyAlignment="1">
      <alignment horizontal="center" vertical="center" wrapText="1"/>
    </xf>
    <xf numFmtId="43" fontId="16" fillId="0" borderId="0" xfId="0" applyNumberFormat="1" applyFont="1" applyFill="1" applyAlignment="1">
      <alignment vertical="center"/>
    </xf>
    <xf numFmtId="199" fontId="9" fillId="0" borderId="9" xfId="50" applyNumberFormat="1" applyFont="1" applyFill="1" applyBorder="1" applyAlignment="1">
      <alignment horizontal="center" vertical="center" wrapText="1"/>
    </xf>
    <xf numFmtId="199" fontId="9" fillId="0" borderId="9" xfId="0" applyNumberFormat="1" applyFont="1" applyFill="1" applyBorder="1" applyAlignment="1">
      <alignment vertical="center"/>
    </xf>
    <xf numFmtId="178" fontId="9" fillId="0" borderId="9" xfId="50" applyNumberFormat="1" applyFont="1" applyFill="1" applyBorder="1" applyAlignment="1">
      <alignment horizontal="center" vertical="center" wrapText="1"/>
    </xf>
    <xf numFmtId="178" fontId="9" fillId="0" borderId="9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178" fontId="20" fillId="0" borderId="9" xfId="50" applyNumberFormat="1" applyFont="1" applyFill="1" applyBorder="1" applyAlignment="1" quotePrefix="1">
      <alignment horizontal="right" vertical="center" wrapText="1"/>
    </xf>
    <xf numFmtId="178" fontId="21" fillId="0" borderId="0" xfId="113" applyNumberFormat="1" applyFont="1" applyFill="1" applyAlignment="1">
      <alignment horizontal="right" vertical="center"/>
      <protection/>
    </xf>
    <xf numFmtId="175" fontId="21" fillId="0" borderId="0" xfId="113" applyNumberFormat="1" applyFont="1" applyFill="1" applyAlignment="1">
      <alignment horizontal="right" vertical="center"/>
      <protection/>
    </xf>
    <xf numFmtId="178" fontId="21" fillId="0" borderId="0" xfId="56" applyNumberFormat="1" applyFont="1" applyFill="1" applyAlignment="1">
      <alignment horizontal="right" vertical="center"/>
    </xf>
    <xf numFmtId="0" fontId="77" fillId="0" borderId="9" xfId="0" applyFont="1" applyFill="1" applyBorder="1" applyAlignment="1" quotePrefix="1">
      <alignment horizontal="left" vertical="center" wrapText="1"/>
    </xf>
    <xf numFmtId="2" fontId="20" fillId="0" borderId="9" xfId="113" applyNumberFormat="1" applyFont="1" applyFill="1" applyBorder="1" applyAlignment="1">
      <alignment horizontal="right" vertical="center"/>
      <protection/>
    </xf>
    <xf numFmtId="178" fontId="21" fillId="0" borderId="9" xfId="60" applyNumberFormat="1" applyFont="1" applyFill="1" applyBorder="1" applyAlignment="1">
      <alignment horizontal="right" vertical="center" wrapText="1"/>
    </xf>
    <xf numFmtId="174" fontId="21" fillId="0" borderId="9" xfId="60" applyNumberFormat="1" applyFont="1" applyFill="1" applyBorder="1" applyAlignment="1">
      <alignment horizontal="right" vertical="center" wrapText="1"/>
    </xf>
    <xf numFmtId="171" fontId="21" fillId="0" borderId="9" xfId="60" applyFont="1" applyFill="1" applyBorder="1" applyAlignment="1">
      <alignment horizontal="right" vertical="center" wrapText="1"/>
    </xf>
    <xf numFmtId="0" fontId="21" fillId="0" borderId="9" xfId="0" applyFont="1" applyFill="1" applyBorder="1" applyAlignment="1" quotePrefix="1">
      <alignment horizontal="left" vertical="center" wrapText="1"/>
    </xf>
    <xf numFmtId="178" fontId="21" fillId="0" borderId="9" xfId="60" applyNumberFormat="1" applyFont="1" applyFill="1" applyBorder="1" applyAlignment="1">
      <alignment horizontal="right" vertical="center"/>
    </xf>
    <xf numFmtId="0" fontId="21" fillId="0" borderId="9" xfId="0" applyFont="1" applyFill="1" applyBorder="1" applyAlignment="1" quotePrefix="1">
      <alignment vertical="center" wrapText="1"/>
    </xf>
    <xf numFmtId="43" fontId="21" fillId="0" borderId="9" xfId="50" applyFont="1" applyFill="1" applyBorder="1" applyAlignment="1">
      <alignment horizontal="right" vertical="center" wrapText="1"/>
    </xf>
    <xf numFmtId="43" fontId="21" fillId="0" borderId="9" xfId="50" applyFont="1" applyFill="1" applyBorder="1" applyAlignment="1">
      <alignment horizontal="right" vertical="center"/>
    </xf>
    <xf numFmtId="174" fontId="21" fillId="0" borderId="9" xfId="60" applyNumberFormat="1" applyFont="1" applyFill="1" applyBorder="1" applyAlignment="1">
      <alignment horizontal="right" vertical="center"/>
    </xf>
    <xf numFmtId="174" fontId="21" fillId="0" borderId="9" xfId="57" applyNumberFormat="1" applyFont="1" applyFill="1" applyBorder="1" applyAlignment="1">
      <alignment horizontal="right" vertical="center" wrapText="1"/>
    </xf>
    <xf numFmtId="175" fontId="21" fillId="0" borderId="9" xfId="57" applyNumberFormat="1" applyFont="1" applyFill="1" applyBorder="1" applyAlignment="1">
      <alignment horizontal="right" vertical="center"/>
    </xf>
    <xf numFmtId="0" fontId="21" fillId="0" borderId="9" xfId="113" applyFont="1" applyFill="1" applyBorder="1" applyAlignment="1" quotePrefix="1">
      <alignment horizontal="justify" vertical="center" wrapText="1"/>
      <protection/>
    </xf>
    <xf numFmtId="0" fontId="21" fillId="0" borderId="9" xfId="113" applyFont="1" applyFill="1" applyBorder="1" applyAlignment="1">
      <alignment horizontal="justify" vertical="center" wrapText="1"/>
      <protection/>
    </xf>
    <xf numFmtId="171" fontId="21" fillId="0" borderId="9" xfId="60" applyFont="1" applyFill="1" applyBorder="1" applyAlignment="1">
      <alignment horizontal="right" vertical="center"/>
    </xf>
    <xf numFmtId="3" fontId="21" fillId="0" borderId="9" xfId="57" applyNumberFormat="1" applyFont="1" applyFill="1" applyBorder="1" applyAlignment="1">
      <alignment horizontal="right" vertical="center"/>
    </xf>
    <xf numFmtId="0" fontId="16" fillId="0" borderId="9" xfId="114" applyFont="1" applyFill="1" applyBorder="1" applyAlignment="1">
      <alignment horizontal="center" vertical="center"/>
      <protection/>
    </xf>
    <xf numFmtId="0" fontId="16" fillId="0" borderId="9" xfId="114" applyFont="1" applyFill="1" applyBorder="1" applyAlignment="1">
      <alignment horizontal="left" vertical="center" wrapText="1"/>
      <protection/>
    </xf>
    <xf numFmtId="0" fontId="61" fillId="0" borderId="9" xfId="114" applyFont="1" applyFill="1" applyBorder="1" applyAlignment="1">
      <alignment horizontal="center" vertical="center" wrapText="1"/>
      <protection/>
    </xf>
    <xf numFmtId="203" fontId="16" fillId="0" borderId="9" xfId="50" applyNumberFormat="1" applyFont="1" applyFill="1" applyBorder="1" applyAlignment="1">
      <alignment horizontal="right" vertical="center"/>
    </xf>
    <xf numFmtId="199" fontId="16" fillId="0" borderId="0" xfId="114" applyNumberFormat="1" applyFont="1" applyFill="1" applyAlignment="1">
      <alignment vertical="center"/>
      <protection/>
    </xf>
    <xf numFmtId="0" fontId="16" fillId="0" borderId="0" xfId="114" applyFont="1" applyFill="1" applyAlignment="1">
      <alignment vertical="center"/>
      <protection/>
    </xf>
    <xf numFmtId="171" fontId="16" fillId="0" borderId="0" xfId="114" applyNumberFormat="1" applyFont="1" applyFill="1" applyAlignment="1">
      <alignment vertical="center"/>
      <protection/>
    </xf>
    <xf numFmtId="0" fontId="20" fillId="0" borderId="9" xfId="114" applyFont="1" applyFill="1" applyBorder="1" applyAlignment="1">
      <alignment horizontal="center" vertical="center"/>
      <protection/>
    </xf>
    <xf numFmtId="0" fontId="20" fillId="0" borderId="9" xfId="0" applyFont="1" applyFill="1" applyBorder="1" applyAlignment="1" quotePrefix="1">
      <alignment horizontal="left" vertical="center" wrapText="1"/>
    </xf>
    <xf numFmtId="0" fontId="21" fillId="0" borderId="9" xfId="0" applyFont="1" applyFill="1" applyBorder="1" applyAlignment="1">
      <alignment horizontal="center" vertical="center" wrapText="1"/>
    </xf>
    <xf numFmtId="203" fontId="20" fillId="0" borderId="9" xfId="50" applyNumberFormat="1" applyFont="1" applyFill="1" applyBorder="1" applyAlignment="1">
      <alignment horizontal="right" vertical="center"/>
    </xf>
    <xf numFmtId="199" fontId="16" fillId="0" borderId="9" xfId="52" applyNumberFormat="1" applyFont="1" applyFill="1" applyBorder="1" applyAlignment="1">
      <alignment vertical="center" wrapText="1"/>
    </xf>
    <xf numFmtId="199" fontId="16" fillId="0" borderId="9" xfId="114" applyNumberFormat="1" applyFont="1" applyFill="1" applyBorder="1" applyAlignment="1">
      <alignment vertical="center" wrapText="1"/>
      <protection/>
    </xf>
    <xf numFmtId="199" fontId="20" fillId="0" borderId="9" xfId="52" applyNumberFormat="1" applyFont="1" applyFill="1" applyBorder="1" applyAlignment="1">
      <alignment vertical="center" wrapText="1"/>
    </xf>
    <xf numFmtId="199" fontId="20" fillId="0" borderId="9" xfId="114" applyNumberFormat="1" applyFont="1" applyFill="1" applyBorder="1" applyAlignment="1">
      <alignment vertical="center" wrapText="1"/>
      <protection/>
    </xf>
    <xf numFmtId="199" fontId="20" fillId="0" borderId="9" xfId="114" applyNumberFormat="1" applyFont="1" applyFill="1" applyBorder="1" applyAlignment="1">
      <alignment vertical="center"/>
      <protection/>
    </xf>
    <xf numFmtId="0" fontId="20" fillId="0" borderId="9" xfId="114" applyFont="1" applyFill="1" applyBorder="1" applyAlignment="1">
      <alignment horizontal="right" vertical="center"/>
      <protection/>
    </xf>
    <xf numFmtId="0" fontId="16" fillId="0" borderId="9" xfId="114" applyFont="1" applyFill="1" applyBorder="1" applyAlignment="1">
      <alignment horizontal="right" vertical="center"/>
      <protection/>
    </xf>
    <xf numFmtId="174" fontId="72" fillId="0" borderId="9" xfId="50" applyNumberFormat="1" applyFont="1" applyFill="1" applyBorder="1" applyAlignment="1">
      <alignment horizontal="right" vertical="center" wrapText="1"/>
    </xf>
    <xf numFmtId="174" fontId="72" fillId="0" borderId="9" xfId="50" applyNumberFormat="1" applyFont="1" applyFill="1" applyBorder="1" applyAlignment="1">
      <alignment horizontal="right" vertical="center"/>
    </xf>
    <xf numFmtId="174" fontId="20" fillId="0" borderId="9" xfId="50" applyNumberFormat="1" applyFont="1" applyFill="1" applyBorder="1" applyAlignment="1" quotePrefix="1">
      <alignment horizontal="right" vertical="center" wrapText="1"/>
    </xf>
    <xf numFmtId="201" fontId="16" fillId="0" borderId="9" xfId="50" applyNumberFormat="1" applyFont="1" applyFill="1" applyBorder="1" applyAlignment="1">
      <alignment horizontal="right" vertical="center"/>
    </xf>
    <xf numFmtId="208" fontId="20" fillId="9" borderId="9" xfId="114" applyNumberFormat="1" applyFont="1" applyFill="1" applyBorder="1" applyAlignment="1">
      <alignment vertical="center"/>
      <protection/>
    </xf>
    <xf numFmtId="208" fontId="16" fillId="9" borderId="9" xfId="114" applyNumberFormat="1" applyFont="1" applyFill="1" applyBorder="1" applyAlignment="1">
      <alignment vertical="center" wrapText="1"/>
      <protection/>
    </xf>
    <xf numFmtId="208" fontId="16" fillId="9" borderId="9" xfId="114" applyNumberFormat="1" applyFont="1" applyFill="1" applyBorder="1" applyAlignment="1">
      <alignment vertical="center"/>
      <protection/>
    </xf>
    <xf numFmtId="208" fontId="20" fillId="9" borderId="9" xfId="114" applyNumberFormat="1" applyFont="1" applyFill="1" applyBorder="1" applyAlignment="1">
      <alignment horizontal="right" vertical="center"/>
      <protection/>
    </xf>
    <xf numFmtId="0" fontId="9" fillId="0" borderId="9" xfId="106" applyFont="1" applyFill="1" applyBorder="1" applyAlignment="1">
      <alignment horizontal="left" vertical="center" wrapText="1"/>
      <protection/>
    </xf>
    <xf numFmtId="208" fontId="20" fillId="9" borderId="9" xfId="114" applyNumberFormat="1" applyFont="1" applyFill="1" applyBorder="1" applyAlignment="1">
      <alignment vertical="center" wrapText="1"/>
      <protection/>
    </xf>
    <xf numFmtId="174" fontId="16" fillId="0" borderId="9" xfId="50" applyNumberFormat="1" applyFont="1" applyFill="1" applyBorder="1" applyAlignment="1" quotePrefix="1">
      <alignment horizontal="right" vertical="center" wrapText="1"/>
    </xf>
    <xf numFmtId="174" fontId="20" fillId="0" borderId="9" xfId="66" applyNumberFormat="1" applyFont="1" applyFill="1" applyBorder="1" applyAlignment="1">
      <alignment horizontal="center" vertical="center"/>
    </xf>
    <xf numFmtId="43" fontId="20" fillId="0" borderId="9" xfId="50" applyNumberFormat="1" applyFont="1" applyFill="1" applyBorder="1" applyAlignment="1">
      <alignment horizontal="center" vertical="center" wrapText="1"/>
    </xf>
    <xf numFmtId="43" fontId="20" fillId="0" borderId="9" xfId="0" applyNumberFormat="1" applyFont="1" applyFill="1" applyBorder="1" applyAlignment="1">
      <alignment vertical="center"/>
    </xf>
    <xf numFmtId="43" fontId="20" fillId="0" borderId="9" xfId="52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43" fontId="72" fillId="0" borderId="9" xfId="52" applyNumberFormat="1" applyFont="1" applyFill="1" applyBorder="1" applyAlignment="1">
      <alignment horizontal="center" vertical="center" wrapText="1"/>
    </xf>
    <xf numFmtId="43" fontId="21" fillId="0" borderId="9" xfId="0" applyNumberFormat="1" applyFont="1" applyFill="1" applyBorder="1" applyAlignment="1">
      <alignment vertical="center"/>
    </xf>
    <xf numFmtId="171" fontId="20" fillId="0" borderId="9" xfId="66" applyNumberFormat="1" applyFont="1" applyFill="1" applyBorder="1" applyAlignment="1">
      <alignment horizontal="center" vertical="center" wrapText="1"/>
    </xf>
    <xf numFmtId="171" fontId="20" fillId="0" borderId="9" xfId="66" applyNumberFormat="1" applyFont="1" applyFill="1" applyBorder="1" applyAlignment="1" quotePrefix="1">
      <alignment horizontal="right" vertical="center"/>
    </xf>
    <xf numFmtId="0" fontId="16" fillId="0" borderId="9" xfId="114" applyFont="1" applyFill="1" applyBorder="1" applyAlignment="1">
      <alignment horizontal="left" vertical="center" wrapText="1"/>
      <protection/>
    </xf>
    <xf numFmtId="199" fontId="16" fillId="0" borderId="9" xfId="50" applyNumberFormat="1" applyFont="1" applyFill="1" applyBorder="1" applyAlignment="1">
      <alignment horizontal="right" vertical="center"/>
    </xf>
    <xf numFmtId="201" fontId="21" fillId="0" borderId="0" xfId="114" applyNumberFormat="1" applyFont="1" applyFill="1" applyAlignment="1">
      <alignment vertical="center"/>
      <protection/>
    </xf>
    <xf numFmtId="214" fontId="21" fillId="0" borderId="0" xfId="114" applyNumberFormat="1" applyFont="1" applyFill="1" applyAlignment="1">
      <alignment vertical="center"/>
      <protection/>
    </xf>
    <xf numFmtId="171" fontId="21" fillId="0" borderId="0" xfId="114" applyNumberFormat="1" applyFont="1" applyFill="1" applyAlignment="1">
      <alignment vertical="center"/>
      <protection/>
    </xf>
    <xf numFmtId="199" fontId="20" fillId="0" borderId="9" xfId="50" applyNumberFormat="1" applyFont="1" applyFill="1" applyBorder="1" applyAlignment="1">
      <alignment horizontal="center" vertical="center" wrapText="1"/>
    </xf>
    <xf numFmtId="199" fontId="21" fillId="0" borderId="0" xfId="114" applyNumberFormat="1" applyFont="1" applyFill="1" applyAlignment="1">
      <alignment vertical="center"/>
      <protection/>
    </xf>
    <xf numFmtId="0" fontId="83" fillId="0" borderId="9" xfId="114" applyFont="1" applyFill="1" applyBorder="1" applyAlignment="1">
      <alignment horizontal="center" vertical="center"/>
      <protection/>
    </xf>
    <xf numFmtId="0" fontId="83" fillId="0" borderId="9" xfId="0" applyFont="1" applyFill="1" applyBorder="1" applyAlignment="1">
      <alignment horizontal="left" vertical="center" wrapText="1"/>
    </xf>
    <xf numFmtId="0" fontId="83" fillId="0" borderId="9" xfId="114" applyFont="1" applyFill="1" applyBorder="1" applyAlignment="1">
      <alignment vertical="center" wrapText="1"/>
      <protection/>
    </xf>
    <xf numFmtId="179" fontId="16" fillId="0" borderId="9" xfId="114" applyNumberFormat="1" applyFont="1" applyFill="1" applyBorder="1" applyAlignment="1">
      <alignment vertical="center" wrapText="1"/>
      <protection/>
    </xf>
    <xf numFmtId="208" fontId="16" fillId="0" borderId="9" xfId="114" applyNumberFormat="1" applyFont="1" applyFill="1" applyBorder="1" applyAlignment="1">
      <alignment vertical="center" wrapText="1"/>
      <protection/>
    </xf>
    <xf numFmtId="208" fontId="16" fillId="0" borderId="9" xfId="114" applyNumberFormat="1" applyFont="1" applyFill="1" applyBorder="1" applyAlignment="1">
      <alignment vertical="center"/>
      <protection/>
    </xf>
    <xf numFmtId="0" fontId="16" fillId="0" borderId="9" xfId="114" applyFont="1" applyFill="1" applyBorder="1" applyAlignment="1">
      <alignment vertical="center" wrapText="1"/>
      <protection/>
    </xf>
    <xf numFmtId="0" fontId="83" fillId="0" borderId="0" xfId="114" applyFont="1" applyFill="1" applyAlignment="1">
      <alignment horizontal="left" vertical="center" wrapText="1"/>
      <protection/>
    </xf>
    <xf numFmtId="0" fontId="83" fillId="0" borderId="0" xfId="114" applyFont="1" applyFill="1" applyAlignment="1">
      <alignment vertical="center"/>
      <protection/>
    </xf>
    <xf numFmtId="0" fontId="62" fillId="0" borderId="9" xfId="0" applyFont="1" applyFill="1" applyBorder="1" applyAlignment="1">
      <alignment horizontal="left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179" fontId="20" fillId="0" borderId="9" xfId="114" applyNumberFormat="1" applyFont="1" applyFill="1" applyBorder="1" applyAlignment="1">
      <alignment vertical="center" wrapText="1"/>
      <protection/>
    </xf>
    <xf numFmtId="179" fontId="20" fillId="0" borderId="9" xfId="114" applyNumberFormat="1" applyFont="1" applyFill="1" applyBorder="1" applyAlignment="1">
      <alignment vertical="center"/>
      <protection/>
    </xf>
    <xf numFmtId="208" fontId="20" fillId="0" borderId="9" xfId="114" applyNumberFormat="1" applyFont="1" applyFill="1" applyBorder="1" applyAlignment="1">
      <alignment vertical="center"/>
      <protection/>
    </xf>
    <xf numFmtId="0" fontId="9" fillId="0" borderId="0" xfId="114" applyFont="1" applyFill="1" applyAlignment="1">
      <alignment vertical="center"/>
      <protection/>
    </xf>
    <xf numFmtId="179" fontId="20" fillId="0" borderId="9" xfId="114" applyNumberFormat="1" applyFont="1" applyFill="1" applyBorder="1" applyAlignment="1">
      <alignment horizontal="center" vertical="center"/>
      <protection/>
    </xf>
    <xf numFmtId="179" fontId="20" fillId="0" borderId="9" xfId="52" applyNumberFormat="1" applyFont="1" applyFill="1" applyBorder="1" applyAlignment="1">
      <alignment horizontal="center" vertical="center"/>
    </xf>
    <xf numFmtId="208" fontId="20" fillId="0" borderId="9" xfId="114" applyNumberFormat="1" applyFont="1" applyFill="1" applyBorder="1" applyAlignment="1">
      <alignment horizontal="center" vertical="center"/>
      <protection/>
    </xf>
    <xf numFmtId="179" fontId="20" fillId="0" borderId="9" xfId="114" applyNumberFormat="1" applyFont="1" applyFill="1" applyBorder="1" applyAlignment="1">
      <alignment horizontal="right" vertical="center"/>
      <protection/>
    </xf>
    <xf numFmtId="179" fontId="20" fillId="0" borderId="9" xfId="52" applyNumberFormat="1" applyFont="1" applyFill="1" applyBorder="1" applyAlignment="1">
      <alignment horizontal="right" vertical="center"/>
    </xf>
    <xf numFmtId="208" fontId="20" fillId="0" borderId="9" xfId="114" applyNumberFormat="1" applyFont="1" applyFill="1" applyBorder="1" applyAlignment="1">
      <alignment horizontal="right" vertical="center"/>
      <protection/>
    </xf>
    <xf numFmtId="0" fontId="83" fillId="0" borderId="9" xfId="0" applyFont="1" applyFill="1" applyBorder="1" applyAlignment="1">
      <alignment horizontal="center" vertical="center" wrapText="1"/>
    </xf>
    <xf numFmtId="0" fontId="9" fillId="0" borderId="9" xfId="114" applyFont="1" applyFill="1" applyBorder="1" applyAlignment="1">
      <alignment horizontal="center" vertical="center"/>
      <protection/>
    </xf>
    <xf numFmtId="0" fontId="9" fillId="0" borderId="9" xfId="107" applyFont="1" applyFill="1" applyBorder="1" applyAlignment="1" quotePrefix="1">
      <alignment vertical="center" wrapText="1"/>
      <protection/>
    </xf>
    <xf numFmtId="0" fontId="9" fillId="0" borderId="9" xfId="114" applyFont="1" applyFill="1" applyBorder="1" applyAlignment="1">
      <alignment horizontal="center" vertical="center" wrapText="1"/>
      <protection/>
    </xf>
    <xf numFmtId="43" fontId="20" fillId="0" borderId="9" xfId="52" applyNumberFormat="1" applyFont="1" applyFill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6" fillId="0" borderId="0" xfId="113" applyFont="1" applyFill="1" applyBorder="1" applyAlignment="1">
      <alignment horizontal="right" vertical="center"/>
      <protection/>
    </xf>
    <xf numFmtId="0" fontId="35" fillId="0" borderId="0" xfId="0" applyFont="1" applyFill="1" applyAlignment="1">
      <alignment horizontal="right"/>
    </xf>
    <xf numFmtId="0" fontId="66" fillId="0" borderId="0" xfId="113" applyFont="1" applyFill="1" applyBorder="1" applyAlignment="1">
      <alignment horizontal="center" vertical="center"/>
      <protection/>
    </xf>
    <xf numFmtId="0" fontId="35" fillId="0" borderId="0" xfId="113" applyFont="1" applyFill="1" applyAlignment="1">
      <alignment horizontal="right" vertical="center"/>
      <protection/>
    </xf>
    <xf numFmtId="0" fontId="16" fillId="0" borderId="0" xfId="113" applyFont="1" applyFill="1" applyBorder="1" applyAlignment="1">
      <alignment horizontal="center" vertical="center" wrapText="1"/>
      <protection/>
    </xf>
    <xf numFmtId="0" fontId="16" fillId="0" borderId="0" xfId="113" applyFont="1" applyFill="1" applyBorder="1" applyAlignment="1">
      <alignment horizontal="center" vertical="center"/>
      <protection/>
    </xf>
    <xf numFmtId="0" fontId="16" fillId="0" borderId="26" xfId="113" applyFont="1" applyFill="1" applyBorder="1" applyAlignment="1">
      <alignment horizontal="center" vertical="center" wrapText="1"/>
      <protection/>
    </xf>
    <xf numFmtId="0" fontId="16" fillId="0" borderId="37" xfId="113" applyFont="1" applyFill="1" applyBorder="1" applyAlignment="1">
      <alignment horizontal="center" vertical="center" wrapText="1"/>
      <protection/>
    </xf>
    <xf numFmtId="0" fontId="16" fillId="0" borderId="14" xfId="113" applyFont="1" applyFill="1" applyBorder="1" applyAlignment="1">
      <alignment horizontal="center" vertical="center"/>
      <protection/>
    </xf>
    <xf numFmtId="0" fontId="16" fillId="0" borderId="5" xfId="113" applyFont="1" applyFill="1" applyBorder="1" applyAlignment="1">
      <alignment horizontal="center" vertical="center"/>
      <protection/>
    </xf>
    <xf numFmtId="0" fontId="16" fillId="0" borderId="38" xfId="113" applyFont="1" applyFill="1" applyBorder="1" applyAlignment="1">
      <alignment horizontal="center" vertical="center"/>
      <protection/>
    </xf>
    <xf numFmtId="0" fontId="81" fillId="0" borderId="0" xfId="113" applyFont="1" applyFill="1" applyBorder="1" applyAlignment="1">
      <alignment horizontal="center" vertical="center"/>
      <protection/>
    </xf>
    <xf numFmtId="49" fontId="16" fillId="0" borderId="9" xfId="113" applyNumberFormat="1" applyFont="1" applyFill="1" applyBorder="1" applyAlignment="1">
      <alignment horizontal="center" vertical="center" wrapText="1"/>
      <protection/>
    </xf>
    <xf numFmtId="0" fontId="16" fillId="0" borderId="0" xfId="113" applyFont="1" applyFill="1" applyAlignment="1">
      <alignment horizontal="center" vertical="center"/>
      <protection/>
    </xf>
    <xf numFmtId="0" fontId="37" fillId="0" borderId="0" xfId="113" applyFont="1" applyFill="1" applyAlignment="1">
      <alignment horizontal="right" vertical="center"/>
      <protection/>
    </xf>
    <xf numFmtId="0" fontId="16" fillId="0" borderId="14" xfId="113" applyFont="1" applyFill="1" applyBorder="1" applyAlignment="1">
      <alignment horizontal="center" vertical="center"/>
      <protection/>
    </xf>
    <xf numFmtId="0" fontId="16" fillId="0" borderId="5" xfId="113" applyFont="1" applyFill="1" applyBorder="1" applyAlignment="1">
      <alignment horizontal="center" vertical="center"/>
      <protection/>
    </xf>
    <xf numFmtId="0" fontId="16" fillId="0" borderId="38" xfId="113" applyFont="1" applyFill="1" applyBorder="1" applyAlignment="1">
      <alignment horizontal="center" vertical="center"/>
      <protection/>
    </xf>
    <xf numFmtId="0" fontId="35" fillId="0" borderId="0" xfId="113" applyFont="1" applyFill="1" applyAlignment="1">
      <alignment horizontal="right"/>
      <protection/>
    </xf>
    <xf numFmtId="0" fontId="16" fillId="0" borderId="39" xfId="113" applyFont="1" applyFill="1" applyBorder="1" applyAlignment="1">
      <alignment horizontal="center" vertical="center"/>
      <protection/>
    </xf>
    <xf numFmtId="0" fontId="16" fillId="0" borderId="2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9" xfId="113" applyFont="1" applyFill="1" applyBorder="1" applyAlignment="1">
      <alignment horizontal="center" vertical="center"/>
      <protection/>
    </xf>
    <xf numFmtId="0" fontId="16" fillId="0" borderId="9" xfId="113" applyFont="1" applyFill="1" applyBorder="1" applyAlignment="1">
      <alignment horizontal="center" vertical="center" wrapText="1"/>
      <protection/>
    </xf>
    <xf numFmtId="43" fontId="16" fillId="0" borderId="9" xfId="50" applyNumberFormat="1" applyFont="1" applyFill="1" applyBorder="1" applyAlignment="1">
      <alignment horizontal="center" vertical="center" wrapText="1"/>
    </xf>
    <xf numFmtId="0" fontId="84" fillId="0" borderId="0" xfId="114" applyFont="1" applyFill="1" applyBorder="1" applyAlignment="1">
      <alignment horizontal="center" vertical="center"/>
      <protection/>
    </xf>
    <xf numFmtId="0" fontId="16" fillId="0" borderId="9" xfId="114" applyFont="1" applyFill="1" applyBorder="1" applyAlignment="1">
      <alignment horizontal="center" vertical="center"/>
      <protection/>
    </xf>
    <xf numFmtId="0" fontId="16" fillId="0" borderId="9" xfId="114" applyFont="1" applyFill="1" applyBorder="1" applyAlignment="1">
      <alignment horizontal="center" vertical="center" wrapText="1"/>
      <protection/>
    </xf>
    <xf numFmtId="0" fontId="35" fillId="0" borderId="0" xfId="114" applyFont="1" applyFill="1" applyAlignment="1">
      <alignment horizontal="right" vertical="center"/>
      <protection/>
    </xf>
    <xf numFmtId="0" fontId="16" fillId="0" borderId="0" xfId="114" applyFont="1" applyFill="1" applyBorder="1" applyAlignment="1">
      <alignment horizontal="center" vertical="center" wrapText="1"/>
      <protection/>
    </xf>
    <xf numFmtId="0" fontId="66" fillId="0" borderId="0" xfId="113" applyFont="1" applyAlignment="1">
      <alignment horizontal="center" vertical="center" wrapText="1"/>
      <protection/>
    </xf>
    <xf numFmtId="0" fontId="66" fillId="0" borderId="26" xfId="113" applyFont="1" applyBorder="1" applyAlignment="1">
      <alignment horizontal="center" vertical="center" wrapText="1"/>
      <protection/>
    </xf>
    <xf numFmtId="0" fontId="66" fillId="0" borderId="37" xfId="113" applyFont="1" applyBorder="1" applyAlignment="1">
      <alignment horizontal="center" vertical="center" wrapText="1"/>
      <protection/>
    </xf>
    <xf numFmtId="0" fontId="35" fillId="0" borderId="0" xfId="113" applyFont="1" applyAlignment="1">
      <alignment horizontal="right" vertical="center" wrapText="1"/>
      <protection/>
    </xf>
    <xf numFmtId="0" fontId="73" fillId="0" borderId="0" xfId="113" applyFont="1" applyFill="1" applyBorder="1" applyAlignment="1">
      <alignment horizontal="center" vertical="center"/>
      <protection/>
    </xf>
    <xf numFmtId="0" fontId="66" fillId="0" borderId="9" xfId="113" applyFont="1" applyBorder="1" applyAlignment="1">
      <alignment horizontal="center" vertical="center" wrapText="1"/>
      <protection/>
    </xf>
    <xf numFmtId="0" fontId="78" fillId="0" borderId="0" xfId="113" applyFont="1" applyFill="1" applyBorder="1" applyAlignment="1">
      <alignment horizontal="center" vertical="center"/>
      <protection/>
    </xf>
    <xf numFmtId="0" fontId="21" fillId="0" borderId="2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30" fillId="0" borderId="40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60" fillId="34" borderId="27" xfId="105" applyNumberFormat="1" applyFont="1" applyFill="1" applyBorder="1" applyAlignment="1">
      <alignment horizontal="right" vertical="center" wrapText="1"/>
      <protection/>
    </xf>
    <xf numFmtId="0" fontId="60" fillId="34" borderId="23" xfId="105" applyNumberFormat="1" applyFont="1" applyFill="1" applyBorder="1" applyAlignment="1">
      <alignment horizontal="left" vertical="center" wrapText="1"/>
      <protection/>
    </xf>
    <xf numFmtId="0" fontId="21" fillId="34" borderId="27" xfId="105" applyNumberFormat="1" applyFont="1" applyFill="1" applyBorder="1" applyAlignment="1">
      <alignment horizontal="right" vertical="center" wrapText="1"/>
      <protection/>
    </xf>
    <xf numFmtId="0" fontId="21" fillId="34" borderId="23" xfId="105" applyNumberFormat="1" applyFont="1" applyFill="1" applyBorder="1" applyAlignment="1">
      <alignment horizontal="left" vertical="center" wrapText="1"/>
      <protection/>
    </xf>
    <xf numFmtId="0" fontId="35" fillId="34" borderId="0" xfId="105" applyFont="1" applyFill="1" applyAlignment="1">
      <alignment horizontal="right" vertical="center" wrapText="1"/>
      <protection/>
    </xf>
    <xf numFmtId="0" fontId="66" fillId="34" borderId="0" xfId="105" applyFont="1" applyFill="1" applyAlignment="1">
      <alignment horizontal="center" vertical="center" wrapText="1"/>
      <protection/>
    </xf>
    <xf numFmtId="0" fontId="67" fillId="34" borderId="0" xfId="105" applyFont="1" applyFill="1" applyAlignment="1">
      <alignment horizontal="center" vertical="center" wrapText="1"/>
      <protection/>
    </xf>
    <xf numFmtId="0" fontId="60" fillId="34" borderId="0" xfId="105" applyNumberFormat="1" applyFont="1" applyFill="1" applyBorder="1" applyAlignment="1">
      <alignment horizontal="right" vertical="center" wrapText="1"/>
      <protection/>
    </xf>
    <xf numFmtId="0" fontId="60" fillId="34" borderId="27" xfId="105" applyNumberFormat="1" applyFont="1" applyFill="1" applyBorder="1" applyAlignment="1">
      <alignment horizontal="left" vertical="center" wrapText="1"/>
      <protection/>
    </xf>
    <xf numFmtId="0" fontId="61" fillId="34" borderId="14" xfId="105" applyFont="1" applyFill="1" applyBorder="1" applyAlignment="1">
      <alignment horizontal="center" vertical="center" wrapText="1"/>
      <protection/>
    </xf>
    <xf numFmtId="0" fontId="61" fillId="34" borderId="38" xfId="105" applyFont="1" applyFill="1" applyBorder="1" applyAlignment="1">
      <alignment horizontal="center" vertical="center" wrapText="1"/>
      <protection/>
    </xf>
    <xf numFmtId="0" fontId="61" fillId="34" borderId="27" xfId="105" applyNumberFormat="1" applyFont="1" applyFill="1" applyBorder="1" applyAlignment="1">
      <alignment horizontal="center" vertical="center" wrapText="1"/>
      <protection/>
    </xf>
    <xf numFmtId="0" fontId="61" fillId="34" borderId="23" xfId="105" applyNumberFormat="1" applyFont="1" applyFill="1" applyBorder="1" applyAlignment="1">
      <alignment horizontal="center" vertical="center" wrapText="1"/>
      <protection/>
    </xf>
    <xf numFmtId="0" fontId="9" fillId="34" borderId="27" xfId="105" applyNumberFormat="1" applyFont="1" applyFill="1" applyBorder="1" applyAlignment="1">
      <alignment horizontal="left" vertical="center" wrapText="1"/>
      <protection/>
    </xf>
    <xf numFmtId="0" fontId="9" fillId="34" borderId="23" xfId="105" applyNumberFormat="1" applyFont="1" applyFill="1" applyBorder="1" applyAlignment="1">
      <alignment horizontal="left" vertical="center" wrapText="1"/>
      <protection/>
    </xf>
    <xf numFmtId="0" fontId="62" fillId="34" borderId="27" xfId="105" applyNumberFormat="1" applyFont="1" applyFill="1" applyBorder="1" applyAlignment="1">
      <alignment horizontal="left" vertical="center" wrapText="1"/>
      <protection/>
    </xf>
    <xf numFmtId="0" fontId="62" fillId="34" borderId="23" xfId="105" applyNumberFormat="1" applyFont="1" applyFill="1" applyBorder="1" applyAlignment="1">
      <alignment horizontal="left" vertical="center" wrapText="1"/>
      <protection/>
    </xf>
    <xf numFmtId="0" fontId="21" fillId="34" borderId="27" xfId="105" applyFont="1" applyFill="1" applyBorder="1" applyAlignment="1">
      <alignment horizontal="right" vertical="center" wrapText="1"/>
      <protection/>
    </xf>
    <xf numFmtId="0" fontId="21" fillId="34" borderId="23" xfId="105" applyFont="1" applyFill="1" applyBorder="1" applyAlignment="1">
      <alignment horizontal="center" vertical="center" wrapText="1"/>
      <protection/>
    </xf>
    <xf numFmtId="0" fontId="61" fillId="34" borderId="0" xfId="118" applyFont="1" applyFill="1" applyAlignment="1">
      <alignment horizontal="center" vertical="center" wrapText="1"/>
      <protection/>
    </xf>
    <xf numFmtId="0" fontId="61" fillId="34" borderId="0" xfId="118" applyFont="1" applyFill="1" applyAlignment="1">
      <alignment horizontal="center" vertical="center"/>
      <protection/>
    </xf>
    <xf numFmtId="43" fontId="60" fillId="34" borderId="0" xfId="68" applyFont="1" applyFill="1" applyBorder="1" applyAlignment="1">
      <alignment horizontal="right" vertical="center"/>
    </xf>
    <xf numFmtId="43" fontId="60" fillId="34" borderId="1" xfId="68" applyFont="1" applyFill="1" applyBorder="1" applyAlignment="1">
      <alignment horizontal="right" vertical="center"/>
    </xf>
    <xf numFmtId="0" fontId="16" fillId="0" borderId="0" xfId="119" applyFont="1" applyFill="1" applyBorder="1" applyAlignment="1">
      <alignment horizontal="right" vertical="center" wrapText="1"/>
      <protection/>
    </xf>
    <xf numFmtId="3" fontId="20" fillId="0" borderId="27" xfId="119" applyNumberFormat="1" applyFont="1" applyFill="1" applyBorder="1" applyAlignment="1">
      <alignment horizontal="center" vertical="center"/>
      <protection/>
    </xf>
    <xf numFmtId="3" fontId="20" fillId="0" borderId="29" xfId="119" applyNumberFormat="1" applyFont="1" applyFill="1" applyBorder="1" applyAlignment="1">
      <alignment horizontal="center" vertical="center"/>
      <protection/>
    </xf>
    <xf numFmtId="3" fontId="20" fillId="0" borderId="23" xfId="119" applyNumberFormat="1" applyFont="1" applyFill="1" applyBorder="1" applyAlignment="1">
      <alignment horizontal="center" vertical="center"/>
      <protection/>
    </xf>
    <xf numFmtId="0" fontId="37" fillId="0" borderId="0" xfId="119" applyFont="1" applyFill="1" applyBorder="1" applyAlignment="1">
      <alignment horizontal="right" vertical="center" wrapText="1"/>
      <protection/>
    </xf>
    <xf numFmtId="0" fontId="16" fillId="0" borderId="0" xfId="119" applyFont="1" applyFill="1" applyBorder="1" applyAlignment="1">
      <alignment horizontal="center" vertical="center" wrapText="1"/>
      <protection/>
    </xf>
    <xf numFmtId="0" fontId="16" fillId="0" borderId="14" xfId="119" applyFont="1" applyFill="1" applyBorder="1" applyAlignment="1">
      <alignment horizontal="center" vertical="center" wrapText="1"/>
      <protection/>
    </xf>
    <xf numFmtId="0" fontId="16" fillId="0" borderId="5" xfId="119" applyFont="1" applyFill="1" applyBorder="1" applyAlignment="1">
      <alignment horizontal="center" vertical="center" wrapText="1"/>
      <protection/>
    </xf>
    <xf numFmtId="0" fontId="16" fillId="0" borderId="38" xfId="119" applyFont="1" applyFill="1" applyBorder="1" applyAlignment="1">
      <alignment horizontal="center" vertical="center" wrapText="1"/>
      <protection/>
    </xf>
    <xf numFmtId="3" fontId="20" fillId="0" borderId="27" xfId="119" applyNumberFormat="1" applyFont="1" applyFill="1" applyBorder="1" applyAlignment="1">
      <alignment horizontal="center" vertical="center" wrapText="1"/>
      <protection/>
    </xf>
    <xf numFmtId="3" fontId="20" fillId="0" borderId="29" xfId="119" applyNumberFormat="1" applyFont="1" applyFill="1" applyBorder="1" applyAlignment="1">
      <alignment horizontal="center" vertical="center" wrapText="1"/>
      <protection/>
    </xf>
    <xf numFmtId="3" fontId="20" fillId="0" borderId="23" xfId="119" applyNumberFormat="1" applyFont="1" applyFill="1" applyBorder="1" applyAlignment="1">
      <alignment horizontal="center" vertical="center" wrapText="1"/>
      <protection/>
    </xf>
    <xf numFmtId="0" fontId="31" fillId="0" borderId="2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84" fillId="0" borderId="0" xfId="113" applyFont="1" applyFill="1" applyBorder="1" applyAlignment="1">
      <alignment horizontal="center" vertical="center"/>
      <protection/>
    </xf>
    <xf numFmtId="0" fontId="16" fillId="34" borderId="9" xfId="0" applyFont="1" applyFill="1" applyBorder="1" applyAlignment="1">
      <alignment horizontal="center" vertical="center" wrapText="1"/>
    </xf>
    <xf numFmtId="0" fontId="60" fillId="0" borderId="0" xfId="113" applyFont="1" applyFill="1" applyAlignment="1">
      <alignment horizontal="left" vertical="center" wrapText="1"/>
      <protection/>
    </xf>
    <xf numFmtId="0" fontId="63" fillId="0" borderId="0" xfId="113" applyFont="1" applyFill="1" applyAlignment="1">
      <alignment horizontal="right" vertical="center"/>
      <protection/>
    </xf>
    <xf numFmtId="0" fontId="61" fillId="0" borderId="9" xfId="0" applyFont="1" applyFill="1" applyBorder="1" applyAlignment="1">
      <alignment horizontal="center" vertical="center" wrapText="1"/>
    </xf>
    <xf numFmtId="0" fontId="61" fillId="0" borderId="14" xfId="113" applyFont="1" applyFill="1" applyBorder="1" applyAlignment="1">
      <alignment horizontal="center" vertical="center"/>
      <protection/>
    </xf>
    <xf numFmtId="0" fontId="61" fillId="0" borderId="5" xfId="113" applyFont="1" applyFill="1" applyBorder="1" applyAlignment="1">
      <alignment horizontal="center" vertical="center"/>
      <protection/>
    </xf>
    <xf numFmtId="0" fontId="61" fillId="0" borderId="38" xfId="113" applyFont="1" applyFill="1" applyBorder="1" applyAlignment="1">
      <alignment horizontal="center" vertical="center"/>
      <protection/>
    </xf>
    <xf numFmtId="0" fontId="61" fillId="0" borderId="9" xfId="113" applyFont="1" applyFill="1" applyBorder="1" applyAlignment="1">
      <alignment horizontal="center" vertical="center" wrapText="1"/>
      <protection/>
    </xf>
    <xf numFmtId="0" fontId="16" fillId="0" borderId="0" xfId="114" applyFont="1" applyFill="1" applyAlignment="1">
      <alignment horizontal="center" vertical="center" wrapText="1"/>
      <protection/>
    </xf>
    <xf numFmtId="0" fontId="16" fillId="0" borderId="0" xfId="114" applyFont="1" applyFill="1" applyAlignment="1">
      <alignment horizontal="center" vertical="center"/>
      <protection/>
    </xf>
    <xf numFmtId="0" fontId="78" fillId="34" borderId="0" xfId="113" applyFont="1" applyFill="1" applyBorder="1" applyAlignment="1">
      <alignment horizontal="center" vertical="center"/>
      <protection/>
    </xf>
    <xf numFmtId="0" fontId="73" fillId="34" borderId="0" xfId="113" applyFont="1" applyFill="1" applyBorder="1" applyAlignment="1">
      <alignment horizontal="center" vertical="center"/>
      <protection/>
    </xf>
    <xf numFmtId="0" fontId="66" fillId="34" borderId="0" xfId="113" applyFont="1" applyFill="1" applyAlignment="1">
      <alignment horizontal="center" vertical="center" wrapText="1"/>
      <protection/>
    </xf>
    <xf numFmtId="0" fontId="16" fillId="34" borderId="9" xfId="113" applyFont="1" applyFill="1" applyBorder="1" applyAlignment="1">
      <alignment horizontal="center" vertical="center" wrapText="1"/>
      <protection/>
    </xf>
    <xf numFmtId="0" fontId="35" fillId="34" borderId="0" xfId="113" applyFont="1" applyFill="1" applyAlignment="1">
      <alignment horizontal="right" vertical="center" wrapText="1"/>
      <protection/>
    </xf>
    <xf numFmtId="0" fontId="16" fillId="34" borderId="14" xfId="113" applyFont="1" applyFill="1" applyBorder="1" applyAlignment="1">
      <alignment horizontal="center" vertical="center"/>
      <protection/>
    </xf>
    <xf numFmtId="0" fontId="16" fillId="34" borderId="5" xfId="113" applyFont="1" applyFill="1" applyBorder="1" applyAlignment="1">
      <alignment horizontal="center" vertical="center"/>
      <protection/>
    </xf>
    <xf numFmtId="0" fontId="16" fillId="34" borderId="38" xfId="113" applyFont="1" applyFill="1" applyBorder="1" applyAlignment="1">
      <alignment horizontal="center" vertical="center"/>
      <protection/>
    </xf>
  </cellXfs>
  <cellStyles count="147">
    <cellStyle name="Normal" xfId="0"/>
    <cellStyle name="_73118_79029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5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eE­ [0]_INQUIRY ¿μ¾÷AßAø " xfId="41"/>
    <cellStyle name="AeE­_INQUIRY ¿µ¾÷AßAø " xfId="42"/>
    <cellStyle name="AÞ¸¶ [0]_INQUIRY ¿?¾÷AßAø " xfId="43"/>
    <cellStyle name="AÞ¸¶_INQUIRY ¿?¾÷AßAø " xfId="44"/>
    <cellStyle name="Bad" xfId="45"/>
    <cellStyle name="C?AØ_¿?¾÷CoE² " xfId="46"/>
    <cellStyle name="C￥AØ_¿μ¾÷CoE² " xfId="47"/>
    <cellStyle name="Calculation" xfId="48"/>
    <cellStyle name="Check Cell" xfId="49"/>
    <cellStyle name="Comma" xfId="50"/>
    <cellStyle name="Comma [0]" xfId="51"/>
    <cellStyle name="Comma 2" xfId="52"/>
    <cellStyle name="Comma 2 2" xfId="53"/>
    <cellStyle name="Comma 28 4" xfId="54"/>
    <cellStyle name="Comma 28 4 2" xfId="55"/>
    <cellStyle name="Comma 3" xfId="56"/>
    <cellStyle name="Comma 3 2" xfId="57"/>
    <cellStyle name="Comma 4" xfId="58"/>
    <cellStyle name="Comma 4 2" xfId="59"/>
    <cellStyle name="Comma 4 2 2" xfId="60"/>
    <cellStyle name="Comma 4 3" xfId="61"/>
    <cellStyle name="Comma 5" xfId="62"/>
    <cellStyle name="Comma 5 2" xfId="63"/>
    <cellStyle name="Comma 6" xfId="64"/>
    <cellStyle name="Comma 6 2" xfId="65"/>
    <cellStyle name="Comma 7" xfId="66"/>
    <cellStyle name="comma zerodec" xfId="67"/>
    <cellStyle name="Comma_Cocau2004(22-11)" xfId="68"/>
    <cellStyle name="Comma0" xfId="69"/>
    <cellStyle name="Currency" xfId="70"/>
    <cellStyle name="Currency [0]" xfId="71"/>
    <cellStyle name="Currency0" xfId="72"/>
    <cellStyle name="Currency1" xfId="73"/>
    <cellStyle name="Date" xfId="74"/>
    <cellStyle name="Dollar (zero dec)" xfId="75"/>
    <cellStyle name="Explanatory Text" xfId="76"/>
    <cellStyle name="Fixed" xfId="77"/>
    <cellStyle name="Followed Hyperlink" xfId="78"/>
    <cellStyle name="Good" xfId="79"/>
    <cellStyle name="Grey" xfId="80"/>
    <cellStyle name="Header1" xfId="81"/>
    <cellStyle name="Header2" xfId="82"/>
    <cellStyle name="Heading 1" xfId="83"/>
    <cellStyle name="Heading 2" xfId="84"/>
    <cellStyle name="Heading 3" xfId="85"/>
    <cellStyle name="Heading 4" xfId="86"/>
    <cellStyle name="HEADING1" xfId="87"/>
    <cellStyle name="HEADING2" xfId="88"/>
    <cellStyle name="Hyperlink" xfId="89"/>
    <cellStyle name="Input" xfId="90"/>
    <cellStyle name="Input [yellow]" xfId="91"/>
    <cellStyle name="Linked Cell" xfId="92"/>
    <cellStyle name="Loai CBDT" xfId="93"/>
    <cellStyle name="Loai CT" xfId="94"/>
    <cellStyle name="Loai GD" xfId="95"/>
    <cellStyle name="Monétaire [0]_TARIFFS DB" xfId="96"/>
    <cellStyle name="Monétaire_TARIFFS DB" xfId="97"/>
    <cellStyle name="n" xfId="98"/>
    <cellStyle name="Neutral" xfId="99"/>
    <cellStyle name="New Times Roman" xfId="100"/>
    <cellStyle name="no dec" xfId="101"/>
    <cellStyle name="Normal - Style1" xfId="102"/>
    <cellStyle name="Normal 11 3 3" xfId="103"/>
    <cellStyle name="Normal 2" xfId="104"/>
    <cellStyle name="Normal 3" xfId="105"/>
    <cellStyle name="Normal 4" xfId="106"/>
    <cellStyle name="Normal 4_73205_79112(1)" xfId="107"/>
    <cellStyle name="Normal 5" xfId="108"/>
    <cellStyle name="Normal 5 2" xfId="109"/>
    <cellStyle name="Normal 6" xfId="110"/>
    <cellStyle name="Normal 6 2" xfId="111"/>
    <cellStyle name="Normal 9" xfId="112"/>
    <cellStyle name="Normal_73205_79112(1)" xfId="113"/>
    <cellStyle name="Normal_73383_79292(1)" xfId="114"/>
    <cellStyle name="Normal_Chi tieu nam 2009 moi" xfId="115"/>
    <cellStyle name="Normal_Chi tieu nam 2009 moi 2" xfId="116"/>
    <cellStyle name="Normal_Chi tieu PTSNYT và hoat dong tinh 2009" xfId="117"/>
    <cellStyle name="Normal_Cocau2004(22-11)" xfId="118"/>
    <cellStyle name="Normal_Phu luc 2 (11.10.08)" xfId="119"/>
    <cellStyle name="Note" xfId="120"/>
    <cellStyle name="Output" xfId="121"/>
    <cellStyle name="Percent" xfId="122"/>
    <cellStyle name="Percent [2]" xfId="123"/>
    <cellStyle name="Percent 2" xfId="124"/>
    <cellStyle name="Percent 3" xfId="125"/>
    <cellStyle name="Percent 4" xfId="126"/>
    <cellStyle name="Percent 5" xfId="127"/>
    <cellStyle name="Percent 6" xfId="128"/>
    <cellStyle name="Percent 7" xfId="129"/>
    <cellStyle name="Style 1" xfId="130"/>
    <cellStyle name="T" xfId="131"/>
    <cellStyle name="th" xfId="132"/>
    <cellStyle name="Title" xfId="133"/>
    <cellStyle name="Tong so" xfId="134"/>
    <cellStyle name="tong so 1" xfId="135"/>
    <cellStyle name="Total" xfId="136"/>
    <cellStyle name="viet" xfId="137"/>
    <cellStyle name="viet2" xfId="138"/>
    <cellStyle name="Warning Text" xfId="139"/>
    <cellStyle name="xuan" xfId="140"/>
    <cellStyle name=" [0.00]_ Att. 1- Cover" xfId="141"/>
    <cellStyle name="_ Att. 1- Cover" xfId="142"/>
    <cellStyle name="?_ Att. 1- Cover" xfId="143"/>
    <cellStyle name="똿뗦먛귟 [0.00]_PRODUCT DETAIL Q1" xfId="144"/>
    <cellStyle name="똿뗦먛귟_PRODUCT DETAIL Q1" xfId="145"/>
    <cellStyle name="믅됞 [0.00]_PRODUCT DETAIL Q1" xfId="146"/>
    <cellStyle name="믅됞_PRODUCT DETAIL Q1" xfId="147"/>
    <cellStyle name="백분율_95" xfId="148"/>
    <cellStyle name="뷭?_BOOKSHIP" xfId="149"/>
    <cellStyle name="콤마 [0]_1202" xfId="150"/>
    <cellStyle name="콤마_1202" xfId="151"/>
    <cellStyle name="통화 [0]_1202" xfId="152"/>
    <cellStyle name="통화_1202" xfId="153"/>
    <cellStyle name="표준_(정보부문)월별인원계획" xfId="154"/>
    <cellStyle name="一般_00Q3902REV.1" xfId="155"/>
    <cellStyle name="千分位[0]_00Q3902REV.1" xfId="156"/>
    <cellStyle name="千分位_00Q3902REV.1" xfId="157"/>
    <cellStyle name="貨幣 [0]_00Q3902REV.1" xfId="158"/>
    <cellStyle name="貨幣[0]_BRE" xfId="159"/>
    <cellStyle name="貨幣_00Q3902REV.1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11-2015\2011-2015\FINAL\My%20Documents\So%20tay%20ke%20hoach\So%20tay%20Kh%202007\3_Co%20cau%20nguon%20von%20theo%20nganh_linh%20vuc%20_chi%20Phu%20Ha_page66_7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11-2015\2011-2015\FINAL\5nam2011-2015\2011\Thang8-2011\HopCP(30-8-2011)\cocauDT(28-8-201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H%20c&#417;%20quan,%20&#273;&#417;n%20v&#7883;\Th&#7889;ng%20k&#23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N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KP%20thu,%20chi%20NSN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PIPE-03E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1"/>
      <sheetName val="MD"/>
      <sheetName val="ND"/>
      <sheetName val="CONG"/>
      <sheetName val="DGCT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Chi tiet - Dv lap"/>
      <sheetName val="TH KHTC"/>
      <sheetName val="000"/>
      <sheetName val="BC_KKTSCD"/>
      <sheetName val="Chitiet"/>
      <sheetName val="Sheet2 (2)"/>
      <sheetName val="Mau_BC_KKTSCD"/>
      <sheetName val="Chart2"/>
      <sheetName val="Tonghop"/>
      <sheetName val="TM"/>
      <sheetName val="Bia"/>
      <sheetName val="BU-gian"/>
      <sheetName val="Bu-Ha"/>
      <sheetName val="PTVT"/>
      <sheetName val="Gia DAN"/>
      <sheetName val="Dan"/>
      <sheetName val="Cuoc"/>
      <sheetName val="Bugia"/>
      <sheetName val="KL57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THCT"/>
      <sheetName val="cap cho cac DT"/>
      <sheetName val="Ung - hoan"/>
      <sheetName val="CP may"/>
      <sheetName val="SS"/>
      <sheetName val="NVL"/>
      <sheetName val="1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Tong Thu"/>
      <sheetName val="Tong Chi"/>
      <sheetName val="Truong hoc"/>
      <sheetName val="Cty CP"/>
      <sheetName val="G.thau 3B"/>
      <sheetName val="T.Hop Thu-chi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Phu luc"/>
      <sheetName val="Gia trÞ"/>
      <sheetName val="TH"/>
      <sheetName val="Sheet17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Sheet13"/>
      <sheetName val="Sheet14"/>
      <sheetName val="Sheet15"/>
      <sheetName val="Sheet16"/>
      <sheetName val="VL"/>
      <sheetName val="CTXD"/>
      <sheetName val=".."/>
      <sheetName val="CTDN"/>
      <sheetName val="san vuon"/>
      <sheetName val="khu phu tro"/>
      <sheetName val="KH 2003 (moi max)"/>
      <sheetName val="116(300)"/>
      <sheetName val="116(200)"/>
      <sheetName val="116(150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Thuyet minh"/>
      <sheetName val="CQ-HQ"/>
      <sheetName val="be tong"/>
      <sheetName val="Thep"/>
      <sheetName val="Tong hop thep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phan tich DG"/>
      <sheetName val="gia vat lieu"/>
      <sheetName val="gia xe may"/>
      <sheetName val="gia nhan cong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8"/>
      <sheetName val="Sheet19"/>
      <sheetName val="Sheet20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PTCT"/>
      <sheetName val="CDghino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dutoan1"/>
      <sheetName val="Anhtoan"/>
      <sheetName val="dutoan2"/>
      <sheetName val="vat tu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Caodo"/>
      <sheetName val="Dat"/>
      <sheetName val="KL-CTTK"/>
      <sheetName val="BTH"/>
      <sheetName val="CHIT"/>
      <sheetName val="THXH"/>
      <sheetName val="BHXH"/>
      <sheetName val="Phu luc HD"/>
      <sheetName val="Gia du thau"/>
      <sheetName val="PTDG"/>
      <sheetName val="Ca xe"/>
      <sheetName val="CT xa"/>
      <sheetName val="TLGC"/>
      <sheetName val="BL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HDT"/>
      <sheetName val="DM-Goc"/>
      <sheetName val="Gia-CT"/>
      <sheetName val="PTCP"/>
      <sheetName val="cphoi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</sheetNames>
    <definedNames>
      <definedName name="DataFilter"/>
      <definedName name="DataSort"/>
      <definedName name="GoBack" sheetId="0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tay_Co cau von 2007"/>
      <sheetName val="Sheet1"/>
      <sheetName val="Tong hop"/>
      <sheetName val="new"/>
      <sheetName val="00000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XL4Poppy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00000000"/>
      <sheetName val="1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00000001"/>
      <sheetName val="00000002"/>
      <sheetName val="00000003"/>
      <sheetName val="00000004"/>
      <sheetName val="2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2001"/>
      <sheetName val="T.H 01"/>
      <sheetName val="200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Gia da dam"/>
      <sheetName val="Gia VLXD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KL"/>
      <sheetName val="DT(cong)"/>
      <sheetName val="CTXD"/>
      <sheetName val="30000000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CP6-4nhip(L=170,5e)(OK)"/>
      <sheetName val="phu luc "/>
      <sheetName val="PT VT "/>
      <sheetName val="c. lech v t"/>
      <sheetName val="Q.Tc.xanh  "/>
      <sheetName val="Tang giam KL 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T8"/>
      <sheetName val="TH8T"/>
      <sheetName val="T9"/>
      <sheetName val="T10"/>
      <sheetName val="VT10"/>
      <sheetName val="VT11"/>
      <sheetName val="VT11 (2)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GTXL(TT03)"/>
      <sheetName val="May"/>
      <sheetName val="Luong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THKP-TT03+04(sauduyet)"/>
      <sheetName val="KM0"/>
      <sheetName val="Gia VL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CPTK"/>
      <sheetName val="DMTK"/>
      <sheetName val="DGiaCTiet"/>
      <sheetName val="DTCT"/>
      <sheetName val="THKP (2)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q2"/>
      <sheetName val="q3"/>
      <sheetName val="q4"/>
      <sheetName val="Tien ung"/>
      <sheetName val="PHONG"/>
      <sheetName val="phi luong3"/>
      <sheetName val="XL4Test5"/>
      <sheetName val="NhapSL"/>
      <sheetName val="TH cac DG"/>
      <sheetName val="DGTH"/>
      <sheetName val="CTcongtron"/>
      <sheetName val="Gia 1m3 dam"/>
      <sheetName val="KLVL 1nhip"/>
      <sheetName val="DG #"/>
      <sheetName val="1md cong ban"/>
      <sheetName val="Be day cong"/>
      <sheetName val="Tach XL"/>
      <sheetName val="KL cau Bac Phu Cat"/>
      <sheetName val="Dam, mo, tru"/>
      <sheetName val="Tuong chan"/>
      <sheetName val="GTXL(03)"/>
      <sheetName val="dgphu"/>
      <sheetName val="CPXD(03+04)"/>
      <sheetName val="Khoan diachat"/>
      <sheetName val="GTXL-Cau"/>
      <sheetName val="DHai(ban-5x20,05m;coc40x40)"/>
      <sheetName val="KVinh(ban-3x21,05m;PA2)"/>
      <sheetName val="KVinh(ban-3x24m;PA1)"/>
      <sheetName val="dgchitiet-cau"/>
      <sheetName val="VC thg 2"/>
      <sheetName val="BB dcTT"/>
      <sheetName val="TT"/>
      <sheetName val="VC TCao"/>
      <sheetName val="VC o Hien"/>
      <sheetName val="VC oDuong"/>
      <sheetName val=" PHoang"/>
      <sheetName val="TT-PLuc"/>
      <sheetName val="TH thanh toan"/>
      <sheetName val="TH"/>
      <sheetName val="TH1"/>
      <sheetName val="TH2"/>
      <sheetName val="TH3"/>
      <sheetName val="TH4"/>
      <sheetName val="TH5"/>
      <sheetName val="ChiaT1"/>
      <sheetName val="ChiaT2"/>
      <sheetName val="ChiaT3"/>
      <sheetName val="ChiaT4"/>
      <sheetName val="ChiaT5"/>
      <sheetName val="MauTH"/>
      <sheetName val="BC ton quy"/>
      <sheetName val="Chi NH"/>
      <sheetName val="TT CAT KCN"/>
      <sheetName val="Chi KHAC"/>
      <sheetName val="THU BaNNHA"/>
      <sheetName val="THU KHAC"/>
      <sheetName val="Dot 2 (2)"/>
      <sheetName val="Lai qua han"/>
      <sheetName val="Lai QH 18-3"/>
      <sheetName val="TBao 1"/>
      <sheetName val="TBao 2"/>
      <sheetName val="TH Dot 1 SUA"/>
      <sheetName val="Dot 1 goc"/>
      <sheetName val="Dienthoai 1 Thi"/>
      <sheetName val="Dot 1 chuan"/>
      <sheetName val="TH Dot 2 SUA"/>
      <sheetName val="Nha tho 1"/>
      <sheetName val="Dienthoai 1"/>
      <sheetName val="Nha tho"/>
      <sheetName val="Dienthoai 2"/>
      <sheetName val="Nha tho 1 (2)"/>
      <sheetName val="Mat Bang - HD"/>
      <sheetName val="Lai QH 25-5"/>
      <sheetName val="Dot 2 chuan"/>
      <sheetName val="Dienthoai 2 Thi"/>
      <sheetName val="TH Dot 1 Thi"/>
      <sheetName val="TH Dot 2 Thi"/>
      <sheetName val="TB Noptien D2"/>
      <sheetName val="Dot 2 theo PT"/>
      <sheetName val="CAN DOI"/>
      <sheetName val="PTPT"/>
      <sheetName val="TK 141"/>
      <sheetName val="NO CTy"/>
      <sheetName val="Chart1"/>
      <sheetName val="Phantich"/>
      <sheetName val="Toan_DA"/>
      <sheetName val="2004"/>
      <sheetName val="2005"/>
      <sheetName val="BKBL"/>
      <sheetName val="DG"/>
      <sheetName val="SLX"/>
      <sheetName val="SLN"/>
      <sheetName val="SLT"/>
      <sheetName val="BKLCVT"/>
      <sheetName val="HH"/>
      <sheetName val="TK"/>
      <sheetName val="sent to"/>
      <sheetName val="#REF"/>
      <sheetName val="T12-01"/>
      <sheetName val="T1-02"/>
      <sheetName val="T5"/>
      <sheetName val="T6"/>
      <sheetName val="T7"/>
      <sheetName val="T11"/>
      <sheetName val="T12"/>
      <sheetName val="CTCN"/>
      <sheetName val="QTHD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hi tiet"/>
      <sheetName val="Vat tu"/>
      <sheetName val="Thiet ke"/>
      <sheetName val="TH KL,VT,KP"/>
      <sheetName val="Den bu"/>
      <sheetName val="Outlets"/>
      <sheetName val="PGs"/>
      <sheetName val="CW of Hoabinh  2002"/>
      <sheetName val=" Goods of Hoabinh 2002 "/>
      <sheetName val="BC"/>
      <sheetName val="Nguon"/>
      <sheetName val="5. KHTS"/>
      <sheetName val="4,Chiphi"/>
      <sheetName val="7. Lai-lo"/>
      <sheetName val="1. DK tai chinh"/>
      <sheetName val="11, Do nhay"/>
      <sheetName val="8, NPV"/>
      <sheetName val="9,TG thu hoi von"/>
      <sheetName val="3,KHVon"/>
      <sheetName val="10. Gia thanh"/>
      <sheetName val="6.Trano"/>
      <sheetName val="2. VDT"/>
      <sheetName val="THop"/>
      <sheetName val="GTXL "/>
      <sheetName val="ptdg"/>
      <sheetName val="vc-tau"/>
      <sheetName val="O-to"/>
      <sheetName val="gia"/>
      <sheetName val="KS"/>
      <sheetName val="DGKS"/>
      <sheetName val="TKP-Hang"/>
      <sheetName val="TH-hang"/>
      <sheetName val="huong dan su dung "/>
      <sheetName val="du lieu"/>
      <sheetName val="ke hoach mua "/>
      <sheetName val="Tondau+nhapkho"/>
      <sheetName val="tuan 1"/>
      <sheetName val="tuan 2"/>
      <sheetName val="tuan 3"/>
      <sheetName val="tuan 4"/>
      <sheetName val="tuan 5"/>
      <sheetName val="TH-thang"/>
      <sheetName val="X-N-T"/>
      <sheetName val="chamcong"/>
      <sheetName val="nhat ky "/>
      <sheetName val="luong nv"/>
      <sheetName val="% chi phi"/>
      <sheetName val="40000000"/>
      <sheetName val="t1"/>
      <sheetName val="t2"/>
      <sheetName val="t3"/>
      <sheetName val="X.XE"/>
      <sheetName val="c ky 4"/>
      <sheetName val="CKY 5"/>
      <sheetName val="cky 6"/>
      <sheetName val="~         "/>
      <sheetName val="Dam-Mo-Tòu"/>
      <sheetName val="CHIPHI"/>
      <sheetName val="NANGSUAT"/>
      <sheetName val="ct9604"/>
      <sheetName val="0000"/>
      <sheetName val="phanA"/>
      <sheetName val="phanB"/>
      <sheetName val="phanC"/>
      <sheetName val="CONG"/>
      <sheetName val="SLDV-TN"/>
      <sheetName val="SLTHU 7 TN"/>
      <sheetName val="bb"/>
      <sheetName val="vp"/>
      <sheetName val="tach vp"/>
      <sheetName val="vp-may"/>
      <sheetName val="HE SO LUONG"/>
      <sheetName val="XM"/>
      <sheetName val="tach  XM"/>
      <sheetName val="to cat"/>
      <sheetName val="to -HT"/>
      <sheetName val="vpm"/>
      <sheetName val="th 12-00"/>
      <sheetName val="th 01-01"/>
      <sheetName val="th 02-01"/>
      <sheetName val="th 03-01"/>
      <sheetName val="th-04-01"/>
      <sheetName val="th-05-01"/>
      <sheetName val="th 06-01"/>
      <sheetName val="th07-01"/>
      <sheetName val="th 08-01"/>
      <sheetName val="th09-01"/>
      <sheetName val="t10 tam"/>
      <sheetName val="th10 cl"/>
      <sheetName val="th11-01"/>
      <sheetName val="th12-01"/>
      <sheetName val="th01-02"/>
      <sheetName val="th02-02"/>
      <sheetName val="th03-02"/>
      <sheetName val="th04-02"/>
      <sheetName val="th05-02"/>
      <sheetName val="th06-02"/>
      <sheetName val="th07-02"/>
      <sheetName val="th08-02"/>
      <sheetName val="th09-02"/>
      <sheetName val="th10-02"/>
      <sheetName val="th11-02"/>
      <sheetName val="th12-02"/>
      <sheetName val="tam"/>
      <sheetName val="BCC"/>
      <sheetName val="HAN"/>
      <sheetName val="LUONG HAN"/>
      <sheetName val=" NGAM HOA 1"/>
      <sheetName val="NGAM HOA 2"/>
      <sheetName val="PHAN DIEN"/>
      <sheetName val="dien 2"/>
      <sheetName val="TONG HOP "/>
      <sheetName val="BX"/>
      <sheetName val="bbau"/>
      <sheetName val="LT2"/>
      <sheetName val="LT2 OLD)"/>
      <sheetName val="UNG-TIEN"/>
      <sheetName val="DSBPHAI"/>
      <sheetName val="MUC"/>
      <sheetName val="BCONG"/>
      <sheetName val="BCONG (2)"/>
      <sheetName val="BCONG-3"/>
      <sheetName val="INVOICE"/>
      <sheetName val="P-L"/>
      <sheetName val="P-L-2"/>
      <sheetName val="MULTI-1"/>
      <sheetName val="D-C-O"/>
      <sheetName val="27712798"/>
      <sheetName val="DI2799"/>
      <sheetName val="DI2800"/>
      <sheetName val="DI2773"/>
      <sheetName val="DI2762"/>
      <sheetName val="B-C-1"/>
      <sheetName val="CF"/>
      <sheetName val="Trich 154"/>
      <sheetName val="Van Son"/>
      <sheetName val="Nga"/>
      <sheetName val="Bac"/>
      <sheetName val="Dung"/>
      <sheetName val="Minh"/>
      <sheetName val="TSon"/>
      <sheetName val="THi-VAn"/>
      <sheetName val="Ky"/>
      <sheetName val="Tien"/>
      <sheetName val="Va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 gso 2006-2010"/>
      <sheetName val="NSNNTPCP2006-2010 "/>
      <sheetName val="dt gso 2011-2015"/>
      <sheetName val="NSNNTPCP2011-2015"/>
      <sheetName val="NSNNTPCP5namgoc"/>
      <sheetName val="NSNN2006-2010"/>
      <sheetName val="TPCP2006-2010 "/>
      <sheetName val="TPCP2006-2010  (2)"/>
      <sheetName val="NSNN2011-2015"/>
      <sheetName val="TPCP2011-2015"/>
      <sheetName val="cc2006-2010"/>
      <sheetName val="NSNN2006-2010 (2)"/>
      <sheetName val="cc2011-2015"/>
      <sheetName val="cc2006-2010 (2)"/>
      <sheetName val="cc2006"/>
      <sheetName val="cc2011"/>
      <sheetName val="cc2010"/>
      <sheetName val="cc2009"/>
      <sheetName val="cc2008"/>
      <sheetName val="cc2007"/>
    </sheetNames>
    <sheetDataSet>
      <sheetData sheetId="10">
        <row r="14">
          <cell r="I14">
            <v>880</v>
          </cell>
        </row>
        <row r="15">
          <cell r="I15">
            <v>141425.55204045697</v>
          </cell>
        </row>
        <row r="32">
          <cell r="I32">
            <v>1.5110423605690986</v>
          </cell>
        </row>
        <row r="69">
          <cell r="I69">
            <v>21.011163782392615</v>
          </cell>
        </row>
        <row r="101">
          <cell r="I101">
            <v>22.87292299538776</v>
          </cell>
        </row>
        <row r="117">
          <cell r="I117">
            <v>1.1020520368010418</v>
          </cell>
        </row>
        <row r="126">
          <cell r="I126">
            <v>0.7774754214980679</v>
          </cell>
        </row>
        <row r="138">
          <cell r="I138">
            <v>3.9664645518173423</v>
          </cell>
        </row>
        <row r="153">
          <cell r="I153">
            <v>3.549358604281097</v>
          </cell>
        </row>
        <row r="162">
          <cell r="I162">
            <v>2.0889452077367694</v>
          </cell>
        </row>
        <row r="190">
          <cell r="I190">
            <v>17.562385044037015</v>
          </cell>
        </row>
        <row r="212">
          <cell r="I212">
            <v>5.669818776670653</v>
          </cell>
        </row>
        <row r="236">
          <cell r="I236">
            <v>3.861700500693786</v>
          </cell>
        </row>
        <row r="270">
          <cell r="I270">
            <v>2.7576199135928907</v>
          </cell>
        </row>
        <row r="275">
          <cell r="I275">
            <v>0.7702240613617725</v>
          </cell>
        </row>
        <row r="294">
          <cell r="I294">
            <v>7.96937650762732</v>
          </cell>
        </row>
        <row r="302">
          <cell r="I302">
            <v>3.2779083645887823</v>
          </cell>
        </row>
        <row r="310">
          <cell r="I310">
            <v>1.251541870943989</v>
          </cell>
        </row>
        <row r="311">
          <cell r="D311">
            <v>943</v>
          </cell>
          <cell r="E311">
            <v>889.56</v>
          </cell>
          <cell r="F311">
            <v>477</v>
          </cell>
          <cell r="G311">
            <v>191.2</v>
          </cell>
          <cell r="H311">
            <v>482.2</v>
          </cell>
          <cell r="I311">
            <v>494.5</v>
          </cell>
        </row>
      </sheetData>
      <sheetData sheetId="14">
        <row r="7">
          <cell r="C7">
            <v>100</v>
          </cell>
        </row>
        <row r="8">
          <cell r="C8">
            <v>20</v>
          </cell>
        </row>
        <row r="9">
          <cell r="C9">
            <v>300</v>
          </cell>
        </row>
        <row r="10">
          <cell r="C10">
            <v>2000</v>
          </cell>
        </row>
        <row r="11">
          <cell r="C11">
            <v>150</v>
          </cell>
        </row>
      </sheetData>
      <sheetData sheetId="15">
        <row r="5">
          <cell r="H5">
            <v>152000.05204045697</v>
          </cell>
        </row>
        <row r="6">
          <cell r="H6">
            <v>10080</v>
          </cell>
        </row>
        <row r="7">
          <cell r="H7">
            <v>180</v>
          </cell>
        </row>
        <row r="8">
          <cell r="H8">
            <v>200</v>
          </cell>
        </row>
        <row r="9">
          <cell r="H9">
            <v>4500</v>
          </cell>
        </row>
        <row r="10">
          <cell r="H10">
            <v>3500</v>
          </cell>
        </row>
        <row r="11">
          <cell r="H11">
            <v>820</v>
          </cell>
        </row>
        <row r="12">
          <cell r="H12">
            <v>880</v>
          </cell>
        </row>
      </sheetData>
      <sheetData sheetId="16">
        <row r="8">
          <cell r="H8">
            <v>200</v>
          </cell>
        </row>
        <row r="9">
          <cell r="H9">
            <v>200</v>
          </cell>
        </row>
        <row r="10">
          <cell r="H10">
            <v>3700</v>
          </cell>
        </row>
        <row r="11">
          <cell r="H11">
            <v>3500</v>
          </cell>
        </row>
        <row r="12">
          <cell r="H12">
            <v>300</v>
          </cell>
        </row>
        <row r="13">
          <cell r="H13">
            <v>800</v>
          </cell>
        </row>
        <row r="154">
          <cell r="C154">
            <v>5678.5351351351355</v>
          </cell>
        </row>
        <row r="170">
          <cell r="C170">
            <v>3495.644123500466</v>
          </cell>
        </row>
        <row r="192">
          <cell r="H192">
            <v>3696.5592327232416</v>
          </cell>
        </row>
        <row r="211">
          <cell r="H211">
            <v>825.9747553902912</v>
          </cell>
        </row>
      </sheetData>
      <sheetData sheetId="17">
        <row r="8">
          <cell r="C8">
            <v>200</v>
          </cell>
        </row>
        <row r="9">
          <cell r="C9">
            <v>200</v>
          </cell>
        </row>
        <row r="10">
          <cell r="C10">
            <v>3700</v>
          </cell>
        </row>
        <row r="11">
          <cell r="C11">
            <v>4900</v>
          </cell>
        </row>
        <row r="12">
          <cell r="C12">
            <v>160</v>
          </cell>
        </row>
        <row r="13">
          <cell r="C13">
            <v>800</v>
          </cell>
        </row>
      </sheetData>
      <sheetData sheetId="18">
        <row r="8">
          <cell r="C8">
            <v>200</v>
          </cell>
        </row>
        <row r="9">
          <cell r="C9">
            <v>200</v>
          </cell>
        </row>
        <row r="10">
          <cell r="C10">
            <v>2300</v>
          </cell>
        </row>
        <row r="11">
          <cell r="C11">
            <v>120</v>
          </cell>
        </row>
        <row r="12">
          <cell r="C12">
            <v>600</v>
          </cell>
        </row>
      </sheetData>
      <sheetData sheetId="19">
        <row r="8">
          <cell r="C8">
            <v>220</v>
          </cell>
        </row>
        <row r="9">
          <cell r="C9">
            <v>200</v>
          </cell>
        </row>
        <row r="10">
          <cell r="C10">
            <v>2500</v>
          </cell>
        </row>
        <row r="12">
          <cell r="C12">
            <v>1000</v>
          </cell>
        </row>
        <row r="13">
          <cell r="C13">
            <v>100</v>
          </cell>
        </row>
        <row r="244">
          <cell r="C244">
            <v>207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a 16-20"/>
      <sheetName val="BM1-CTTH"/>
      <sheetName val="BM2"/>
      <sheetName val="BM3"/>
      <sheetName val="BM4"/>
      <sheetName val="BM5"/>
      <sheetName val="BM6"/>
      <sheetName val="BM7"/>
      <sheetName val="BM8"/>
      <sheetName val="BM9"/>
      <sheetName val="BM10"/>
      <sheetName val="PL2"/>
      <sheetName val="BieunayKhongin"/>
      <sheetName val="Khongin"/>
      <sheetName val="PL17CCTT(khongin)"/>
      <sheetName val="Sheet3"/>
      <sheetName val="Pl14"/>
      <sheetName val="Sheet1"/>
      <sheetName val="Sheet2"/>
      <sheetName val="Bia 21-25"/>
      <sheetName val="BM1CTTH(21-25)"/>
      <sheetName val="BM2(B)"/>
      <sheetName val="BM3(B)"/>
      <sheetName val="BM4 (B)"/>
      <sheetName val="BM5(B)"/>
      <sheetName val="BM6(B)"/>
      <sheetName val="BM7(B)"/>
      <sheetName val="BM8(B)"/>
      <sheetName val="BM9(B)"/>
      <sheetName val="BM10(B)"/>
    </sheetNames>
    <sheetDataSet>
      <sheetData sheetId="5">
        <row r="11">
          <cell r="K11">
            <v>30.198</v>
          </cell>
        </row>
        <row r="12">
          <cell r="K12">
            <v>18.44</v>
          </cell>
        </row>
        <row r="13">
          <cell r="K13">
            <v>10.675999999999998</v>
          </cell>
        </row>
        <row r="14">
          <cell r="K14">
            <v>9.54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ia 16-20"/>
      <sheetName val="BM1-CTTH"/>
      <sheetName val="BM2"/>
      <sheetName val="BM3"/>
      <sheetName val="BM4"/>
      <sheetName val="BM5"/>
      <sheetName val="BM6"/>
      <sheetName val="BM7"/>
      <sheetName val="BM8"/>
      <sheetName val="BM9"/>
      <sheetName val="BM10"/>
      <sheetName val="PL2"/>
      <sheetName val="BieunayKhongin"/>
      <sheetName val="Khongin"/>
      <sheetName val="PL17CCTT(khongin)"/>
      <sheetName val="Sheet3"/>
      <sheetName val="Pl14"/>
      <sheetName val="Sheet1"/>
      <sheetName val="Sheet2"/>
      <sheetName val="Bia 21-25"/>
      <sheetName val="BM1CTTH(21-25)"/>
      <sheetName val="BM2(B)"/>
      <sheetName val="BM3(B)"/>
      <sheetName val="BM4 (B)"/>
      <sheetName val="BM5(B)"/>
      <sheetName val="BM6(B)"/>
      <sheetName val="BM7(B)"/>
      <sheetName val="BM8(B)"/>
      <sheetName val="BM9(B)"/>
      <sheetName val="BM10(B)"/>
    </sheetNames>
    <sheetDataSet>
      <sheetData sheetId="1">
        <row r="85">
          <cell r="K85">
            <v>91.16</v>
          </cell>
        </row>
      </sheetData>
      <sheetData sheetId="2">
        <row r="11">
          <cell r="K11">
            <v>94507.2</v>
          </cell>
        </row>
        <row r="12">
          <cell r="K12">
            <v>90703.3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.H thu, chi"/>
      <sheetName val="Tổng hợp lập dự toán"/>
      <sheetName val="BC chính trị ĐH"/>
    </sheetNames>
    <sheetDataSet>
      <sheetData sheetId="1">
        <row r="11">
          <cell r="D11">
            <v>41.25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N27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0" width="9.7109375" style="0" customWidth="1"/>
  </cols>
  <sheetData>
    <row r="20" spans="1:14" ht="20.25">
      <c r="A20" s="960" t="s">
        <v>638</v>
      </c>
      <c r="B20" s="960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</row>
    <row r="27" ht="12.75">
      <c r="H27" s="551"/>
    </row>
  </sheetData>
  <sheetProtection/>
  <mergeCells count="1">
    <mergeCell ref="A20:N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J43" sqref="J43"/>
    </sheetView>
  </sheetViews>
  <sheetFormatPr defaultColWidth="9.140625" defaultRowHeight="12.75"/>
  <cols>
    <col min="1" max="1" width="5.140625" style="38" customWidth="1"/>
    <col min="2" max="2" width="43.140625" style="38" customWidth="1"/>
    <col min="3" max="3" width="11.8515625" style="38" customWidth="1"/>
    <col min="4" max="4" width="15.140625" style="40" customWidth="1"/>
    <col min="5" max="5" width="10.8515625" style="40" hidden="1" customWidth="1"/>
    <col min="6" max="7" width="10.8515625" style="38" hidden="1" customWidth="1"/>
    <col min="8" max="8" width="12.140625" style="38" hidden="1" customWidth="1"/>
    <col min="9" max="9" width="20.421875" style="38" customWidth="1"/>
    <col min="10" max="10" width="15.140625" style="38" customWidth="1"/>
    <col min="11" max="11" width="14.8515625" style="38" customWidth="1"/>
    <col min="12" max="12" width="16.8515625" style="38" customWidth="1"/>
    <col min="13" max="16384" width="9.140625" style="38" customWidth="1"/>
  </cols>
  <sheetData>
    <row r="1" spans="1:12" ht="36" customHeight="1">
      <c r="A1" s="1003" t="s">
        <v>130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</row>
    <row r="2" spans="1:12" ht="27.75" customHeight="1">
      <c r="A2" s="1004" t="s">
        <v>100</v>
      </c>
      <c r="B2" s="1004"/>
      <c r="C2" s="1004"/>
      <c r="D2" s="1004"/>
      <c r="E2" s="1004"/>
      <c r="F2" s="1004"/>
      <c r="G2" s="1004"/>
      <c r="H2" s="1004"/>
      <c r="I2" s="1004"/>
      <c r="J2" s="1004"/>
      <c r="K2" s="1004"/>
      <c r="L2" s="1004"/>
    </row>
    <row r="3" spans="1:12" ht="13.5" thickBot="1">
      <c r="A3" s="56"/>
      <c r="B3" s="56"/>
      <c r="C3" s="56"/>
      <c r="D3" s="57"/>
      <c r="E3" s="57"/>
      <c r="F3" s="39"/>
      <c r="G3" s="39"/>
      <c r="H3" s="39"/>
      <c r="I3" s="57"/>
      <c r="J3" s="56"/>
      <c r="K3" s="56"/>
      <c r="L3" s="56"/>
    </row>
    <row r="4" spans="1:12" s="44" customFormat="1" ht="32.25" customHeight="1" thickTop="1">
      <c r="A4" s="1005" t="s">
        <v>0</v>
      </c>
      <c r="B4" s="1005" t="s">
        <v>19</v>
      </c>
      <c r="C4" s="1005" t="s">
        <v>20</v>
      </c>
      <c r="D4" s="1000" t="s">
        <v>21</v>
      </c>
      <c r="E4" s="1000" t="s">
        <v>98</v>
      </c>
      <c r="F4" s="1000" t="s">
        <v>22</v>
      </c>
      <c r="G4" s="1000" t="s">
        <v>23</v>
      </c>
      <c r="H4" s="1000" t="s">
        <v>24</v>
      </c>
      <c r="I4" s="1000" t="s">
        <v>124</v>
      </c>
      <c r="J4" s="1007" t="s">
        <v>95</v>
      </c>
      <c r="K4" s="1008"/>
      <c r="L4" s="1005" t="s">
        <v>25</v>
      </c>
    </row>
    <row r="5" spans="1:12" s="44" customFormat="1" ht="21" customHeight="1">
      <c r="A5" s="1006"/>
      <c r="B5" s="1006"/>
      <c r="C5" s="1006"/>
      <c r="D5" s="1001"/>
      <c r="E5" s="1001"/>
      <c r="F5" s="1001"/>
      <c r="G5" s="1001"/>
      <c r="H5" s="1001"/>
      <c r="I5" s="1001"/>
      <c r="J5" s="58">
        <v>2009</v>
      </c>
      <c r="K5" s="58">
        <v>2010</v>
      </c>
      <c r="L5" s="1006"/>
    </row>
    <row r="6" spans="1:12" s="44" customFormat="1" ht="30" customHeight="1">
      <c r="A6" s="45" t="s">
        <v>26</v>
      </c>
      <c r="B6" s="46" t="s">
        <v>27</v>
      </c>
      <c r="C6" s="45"/>
      <c r="D6" s="47"/>
      <c r="E6" s="47"/>
      <c r="F6" s="45"/>
      <c r="G6" s="45"/>
      <c r="H6" s="45">
        <v>6.2</v>
      </c>
      <c r="I6" s="45"/>
      <c r="J6" s="45"/>
      <c r="K6" s="45"/>
      <c r="L6" s="45"/>
    </row>
    <row r="7" spans="1:12" s="44" customFormat="1" ht="48" customHeight="1">
      <c r="A7" s="48">
        <v>1</v>
      </c>
      <c r="B7" s="49" t="s">
        <v>28</v>
      </c>
      <c r="C7" s="48" t="s">
        <v>5</v>
      </c>
      <c r="D7" s="50" t="s">
        <v>29</v>
      </c>
      <c r="E7" s="64" t="e">
        <f>#REF!</f>
        <v>#REF!</v>
      </c>
      <c r="F7" s="64" t="e">
        <f>#REF!</f>
        <v>#REF!</v>
      </c>
      <c r="G7" s="64" t="e">
        <f>#REF!</f>
        <v>#REF!</v>
      </c>
      <c r="H7" s="64" t="e">
        <f>#REF!</f>
        <v>#REF!</v>
      </c>
      <c r="I7" s="68" t="e">
        <f>#REF!</f>
        <v>#REF!</v>
      </c>
      <c r="J7" s="51" t="e">
        <f>#REF!</f>
        <v>#REF!</v>
      </c>
      <c r="K7" s="51">
        <v>7</v>
      </c>
      <c r="L7" s="48" t="s">
        <v>126</v>
      </c>
    </row>
    <row r="8" spans="1:12" s="44" customFormat="1" ht="36" customHeight="1">
      <c r="A8" s="48">
        <v>2</v>
      </c>
      <c r="B8" s="49" t="s">
        <v>31</v>
      </c>
      <c r="C8" s="48" t="s">
        <v>32</v>
      </c>
      <c r="D8" s="50" t="s">
        <v>33</v>
      </c>
      <c r="E8" s="50"/>
      <c r="F8" s="52">
        <v>425373</v>
      </c>
      <c r="G8" s="52">
        <v>461443</v>
      </c>
      <c r="H8" s="48" t="s">
        <v>34</v>
      </c>
      <c r="I8" s="48" t="s">
        <v>96</v>
      </c>
      <c r="J8" s="52" t="s">
        <v>97</v>
      </c>
      <c r="K8" s="52" t="s">
        <v>127</v>
      </c>
      <c r="L8" s="48" t="s">
        <v>30</v>
      </c>
    </row>
    <row r="9" spans="1:12" s="44" customFormat="1" ht="24.75" customHeight="1">
      <c r="A9" s="48">
        <v>3</v>
      </c>
      <c r="B9" s="49" t="s">
        <v>35</v>
      </c>
      <c r="C9" s="48" t="s">
        <v>10</v>
      </c>
      <c r="D9" s="50" t="e">
        <f>#REF!</f>
        <v>#REF!</v>
      </c>
      <c r="E9" s="50" t="e">
        <f>#REF!</f>
        <v>#REF!</v>
      </c>
      <c r="F9" s="50" t="e">
        <f>#REF!</f>
        <v>#REF!</v>
      </c>
      <c r="G9" s="50" t="e">
        <f>#REF!</f>
        <v>#REF!</v>
      </c>
      <c r="H9" s="50" t="e">
        <f>#REF!</f>
        <v>#REF!</v>
      </c>
      <c r="I9" s="50" t="e">
        <f>#REF!</f>
        <v>#REF!</v>
      </c>
      <c r="J9" s="52" t="e">
        <f>#REF!</f>
        <v>#REF!</v>
      </c>
      <c r="K9" s="52">
        <v>1380</v>
      </c>
      <c r="L9" s="48" t="s">
        <v>78</v>
      </c>
    </row>
    <row r="10" spans="1:12" s="44" customFormat="1" ht="24.75" customHeight="1">
      <c r="A10" s="48">
        <v>4</v>
      </c>
      <c r="B10" s="49" t="s">
        <v>37</v>
      </c>
      <c r="C10" s="48" t="s">
        <v>5</v>
      </c>
      <c r="D10" s="50" t="e">
        <f>#REF!</f>
        <v>#REF!</v>
      </c>
      <c r="E10" s="50" t="e">
        <f>#REF!</f>
        <v>#REF!</v>
      </c>
      <c r="F10" s="50" t="e">
        <f>#REF!</f>
        <v>#REF!</v>
      </c>
      <c r="G10" s="50" t="e">
        <f>#REF!</f>
        <v>#REF!</v>
      </c>
      <c r="H10" s="50" t="e">
        <f>#REF!</f>
        <v>#REF!</v>
      </c>
      <c r="I10" s="66" t="e">
        <f>#REF!</f>
        <v>#REF!</v>
      </c>
      <c r="J10" s="51" t="e">
        <f>#REF!</f>
        <v>#REF!</v>
      </c>
      <c r="K10" s="51">
        <v>3.5</v>
      </c>
      <c r="L10" s="48" t="s">
        <v>78</v>
      </c>
    </row>
    <row r="11" spans="1:12" s="44" customFormat="1" ht="24.75" customHeight="1">
      <c r="A11" s="48">
        <v>5</v>
      </c>
      <c r="B11" s="49" t="s">
        <v>38</v>
      </c>
      <c r="C11" s="48" t="s">
        <v>5</v>
      </c>
      <c r="D11" s="50" t="e">
        <f>#REF!</f>
        <v>#REF!</v>
      </c>
      <c r="E11" s="50" t="e">
        <f>#REF!</f>
        <v>#REF!</v>
      </c>
      <c r="F11" s="50" t="e">
        <f>#REF!</f>
        <v>#REF!</v>
      </c>
      <c r="G11" s="50" t="e">
        <f>#REF!</f>
        <v>#REF!</v>
      </c>
      <c r="H11" s="50" t="e">
        <f>#REF!</f>
        <v>#REF!</v>
      </c>
      <c r="I11" s="66" t="e">
        <f>#REF!</f>
        <v>#REF!</v>
      </c>
      <c r="J11" s="51" t="e">
        <f>#REF!</f>
        <v>#REF!</v>
      </c>
      <c r="K11" s="51">
        <v>8</v>
      </c>
      <c r="L11" s="48" t="s">
        <v>126</v>
      </c>
    </row>
    <row r="12" spans="1:12" s="44" customFormat="1" ht="24.75" customHeight="1">
      <c r="A12" s="48">
        <v>6</v>
      </c>
      <c r="B12" s="49" t="s">
        <v>39</v>
      </c>
      <c r="C12" s="48" t="s">
        <v>5</v>
      </c>
      <c r="D12" s="50" t="e">
        <f>#REF!</f>
        <v>#REF!</v>
      </c>
      <c r="E12" s="50" t="e">
        <f>#REF!</f>
        <v>#REF!</v>
      </c>
      <c r="F12" s="50" t="e">
        <f>#REF!</f>
        <v>#REF!</v>
      </c>
      <c r="G12" s="50" t="e">
        <f>#REF!</f>
        <v>#REF!</v>
      </c>
      <c r="H12" s="50" t="e">
        <f>#REF!</f>
        <v>#REF!</v>
      </c>
      <c r="I12" s="66" t="e">
        <f>#REF!</f>
        <v>#REF!</v>
      </c>
      <c r="J12" s="51" t="e">
        <f>#REF!</f>
        <v>#REF!</v>
      </c>
      <c r="K12" s="48">
        <v>7.8</v>
      </c>
      <c r="L12" s="48" t="s">
        <v>36</v>
      </c>
    </row>
    <row r="13" spans="1:12" s="44" customFormat="1" ht="24.75" customHeight="1">
      <c r="A13" s="48">
        <v>7</v>
      </c>
      <c r="B13" s="49" t="s">
        <v>40</v>
      </c>
      <c r="C13" s="48"/>
      <c r="D13" s="50"/>
      <c r="E13" s="50"/>
      <c r="F13" s="48"/>
      <c r="G13" s="48"/>
      <c r="H13" s="48"/>
      <c r="I13" s="48"/>
      <c r="J13" s="48"/>
      <c r="K13" s="48"/>
      <c r="L13" s="48"/>
    </row>
    <row r="14" spans="1:12" s="44" customFormat="1" ht="24.75" customHeight="1">
      <c r="A14" s="48"/>
      <c r="B14" s="49" t="s">
        <v>41</v>
      </c>
      <c r="C14" s="48" t="s">
        <v>5</v>
      </c>
      <c r="D14" s="50" t="e">
        <f>#REF!</f>
        <v>#REF!</v>
      </c>
      <c r="E14" s="50" t="e">
        <f>#REF!</f>
        <v>#REF!</v>
      </c>
      <c r="F14" s="50" t="e">
        <f>#REF!</f>
        <v>#REF!</v>
      </c>
      <c r="G14" s="50" t="e">
        <f>#REF!</f>
        <v>#REF!</v>
      </c>
      <c r="H14" s="50" t="e">
        <f>#REF!</f>
        <v>#REF!</v>
      </c>
      <c r="I14" s="50" t="e">
        <f>#REF!</f>
        <v>#REF!</v>
      </c>
      <c r="J14" s="124" t="e">
        <f>#REF!</f>
        <v>#REF!</v>
      </c>
      <c r="K14" s="48">
        <v>20</v>
      </c>
      <c r="L14" s="48" t="s">
        <v>42</v>
      </c>
    </row>
    <row r="15" spans="1:12" s="44" customFormat="1" ht="24.75" customHeight="1">
      <c r="A15" s="48"/>
      <c r="B15" s="49" t="s">
        <v>43</v>
      </c>
      <c r="C15" s="48" t="s">
        <v>5</v>
      </c>
      <c r="D15" s="50" t="e">
        <f>#REF!</f>
        <v>#REF!</v>
      </c>
      <c r="E15" s="50" t="e">
        <f>#REF!</f>
        <v>#REF!</v>
      </c>
      <c r="F15" s="50" t="e">
        <f>#REF!</f>
        <v>#REF!</v>
      </c>
      <c r="G15" s="50" t="e">
        <f>#REF!</f>
        <v>#REF!</v>
      </c>
      <c r="H15" s="50" t="e">
        <f>#REF!</f>
        <v>#REF!</v>
      </c>
      <c r="I15" s="50" t="e">
        <f>#REF!</f>
        <v>#REF!</v>
      </c>
      <c r="J15" s="124" t="e">
        <f>#REF!</f>
        <v>#REF!</v>
      </c>
      <c r="K15" s="48">
        <v>40.8</v>
      </c>
      <c r="L15" s="48" t="s">
        <v>42</v>
      </c>
    </row>
    <row r="16" spans="1:12" s="44" customFormat="1" ht="24.75" customHeight="1">
      <c r="A16" s="48"/>
      <c r="B16" s="49" t="s">
        <v>44</v>
      </c>
      <c r="C16" s="48" t="s">
        <v>5</v>
      </c>
      <c r="D16" s="50" t="e">
        <f>#REF!</f>
        <v>#REF!</v>
      </c>
      <c r="E16" s="50" t="e">
        <f>#REF!</f>
        <v>#REF!</v>
      </c>
      <c r="F16" s="50" t="e">
        <f>#REF!</f>
        <v>#REF!</v>
      </c>
      <c r="G16" s="50" t="e">
        <f>#REF!</f>
        <v>#REF!</v>
      </c>
      <c r="H16" s="50" t="e">
        <f>#REF!</f>
        <v>#REF!</v>
      </c>
      <c r="I16" s="50" t="e">
        <f>#REF!</f>
        <v>#REF!</v>
      </c>
      <c r="J16" s="124" t="e">
        <f>#REF!</f>
        <v>#REF!</v>
      </c>
      <c r="K16" s="48">
        <v>40.5</v>
      </c>
      <c r="L16" s="48" t="s">
        <v>30</v>
      </c>
    </row>
    <row r="17" spans="1:15" s="44" customFormat="1" ht="32.25" customHeight="1">
      <c r="A17" s="48">
        <v>8</v>
      </c>
      <c r="B17" s="49" t="s">
        <v>45</v>
      </c>
      <c r="C17" s="48" t="s">
        <v>5</v>
      </c>
      <c r="D17" s="50" t="e">
        <f>#REF!</f>
        <v>#REF!</v>
      </c>
      <c r="E17" s="50" t="e">
        <f>#REF!</f>
        <v>#REF!</v>
      </c>
      <c r="F17" s="50" t="e">
        <f>#REF!</f>
        <v>#REF!</v>
      </c>
      <c r="G17" s="50" t="e">
        <f>#REF!</f>
        <v>#REF!</v>
      </c>
      <c r="H17" s="60" t="e">
        <f>#REF!</f>
        <v>#REF!</v>
      </c>
      <c r="I17" s="60" t="e">
        <f>#REF!</f>
        <v>#REF!</v>
      </c>
      <c r="J17" s="51" t="e">
        <f>#REF!</f>
        <v>#REF!</v>
      </c>
      <c r="K17" s="48">
        <v>20</v>
      </c>
      <c r="L17" s="48" t="s">
        <v>78</v>
      </c>
      <c r="O17" s="116"/>
    </row>
    <row r="18" spans="1:12" s="44" customFormat="1" ht="33" customHeight="1">
      <c r="A18" s="48">
        <v>9</v>
      </c>
      <c r="B18" s="49" t="s">
        <v>47</v>
      </c>
      <c r="C18" s="48" t="s">
        <v>5</v>
      </c>
      <c r="D18" s="50" t="e">
        <f>#REF!</f>
        <v>#REF!</v>
      </c>
      <c r="E18" s="50" t="e">
        <f>#REF!</f>
        <v>#REF!</v>
      </c>
      <c r="F18" s="50" t="e">
        <f>#REF!</f>
        <v>#REF!</v>
      </c>
      <c r="G18" s="50" t="e">
        <f>#REF!</f>
        <v>#REF!</v>
      </c>
      <c r="H18" s="50" t="e">
        <f>#REF!</f>
        <v>#REF!</v>
      </c>
      <c r="I18" s="50" t="e">
        <f>#REF!</f>
        <v>#REF!</v>
      </c>
      <c r="J18" s="48" t="e">
        <f>#REF!</f>
        <v>#REF!</v>
      </c>
      <c r="K18" s="48">
        <v>40</v>
      </c>
      <c r="L18" s="48" t="s">
        <v>36</v>
      </c>
    </row>
    <row r="19" spans="1:12" s="44" customFormat="1" ht="35.25" customHeight="1">
      <c r="A19" s="48">
        <v>10</v>
      </c>
      <c r="B19" s="49" t="s">
        <v>49</v>
      </c>
      <c r="C19" s="48" t="s">
        <v>5</v>
      </c>
      <c r="D19" s="50" t="s">
        <v>50</v>
      </c>
      <c r="E19" s="50">
        <v>27.2</v>
      </c>
      <c r="F19" s="48">
        <v>28.7</v>
      </c>
      <c r="G19" s="48">
        <v>27.6</v>
      </c>
      <c r="H19" s="48">
        <v>26.8</v>
      </c>
      <c r="I19" s="51" t="e">
        <f>#REF!</f>
        <v>#REF!</v>
      </c>
      <c r="J19" s="100" t="e">
        <f>#REF!</f>
        <v>#REF!</v>
      </c>
      <c r="K19" s="53">
        <v>23</v>
      </c>
      <c r="L19" s="48" t="s">
        <v>78</v>
      </c>
    </row>
    <row r="20" spans="1:12" s="44" customFormat="1" ht="24.75" customHeight="1">
      <c r="A20" s="48" t="s">
        <v>51</v>
      </c>
      <c r="B20" s="49" t="s">
        <v>52</v>
      </c>
      <c r="C20" s="48"/>
      <c r="D20" s="50"/>
      <c r="E20" s="50"/>
      <c r="F20" s="48"/>
      <c r="G20" s="48"/>
      <c r="H20" s="48"/>
      <c r="I20" s="48"/>
      <c r="J20" s="48"/>
      <c r="K20" s="48"/>
      <c r="L20" s="48"/>
    </row>
    <row r="21" spans="1:12" s="44" customFormat="1" ht="43.5" customHeight="1">
      <c r="A21" s="48">
        <v>11</v>
      </c>
      <c r="B21" s="49" t="s">
        <v>53</v>
      </c>
      <c r="C21" s="48" t="s">
        <v>54</v>
      </c>
      <c r="D21" s="50" t="s">
        <v>55</v>
      </c>
      <c r="E21" s="65" t="e">
        <f>#REF!</f>
        <v>#REF!</v>
      </c>
      <c r="F21" s="65" t="e">
        <f>#REF!</f>
        <v>#REF!</v>
      </c>
      <c r="G21" s="65" t="e">
        <f>#REF!</f>
        <v>#REF!</v>
      </c>
      <c r="H21" s="65" t="e">
        <f>#REF!</f>
        <v>#REF!</v>
      </c>
      <c r="I21" s="65" t="e">
        <f>#REF!</f>
        <v>#REF!</v>
      </c>
      <c r="J21" s="52" t="e">
        <f>#REF!</f>
        <v>#REF!</v>
      </c>
      <c r="K21" s="48" t="s">
        <v>104</v>
      </c>
      <c r="L21" s="48" t="s">
        <v>42</v>
      </c>
    </row>
    <row r="22" spans="1:12" s="44" customFormat="1" ht="30" customHeight="1">
      <c r="A22" s="48">
        <v>12</v>
      </c>
      <c r="B22" s="49" t="s">
        <v>56</v>
      </c>
      <c r="C22" s="48" t="s">
        <v>57</v>
      </c>
      <c r="D22" s="50" t="s">
        <v>58</v>
      </c>
      <c r="E22" s="50"/>
      <c r="F22" s="48">
        <v>183</v>
      </c>
      <c r="G22" s="48" t="s">
        <v>59</v>
      </c>
      <c r="H22" s="48" t="s">
        <v>60</v>
      </c>
      <c r="I22" s="117" t="e">
        <f>#REF!</f>
        <v>#REF!</v>
      </c>
      <c r="J22" s="48">
        <v>196</v>
      </c>
      <c r="K22" s="48">
        <v>204</v>
      </c>
      <c r="L22" s="48" t="s">
        <v>30</v>
      </c>
    </row>
    <row r="23" spans="1:12" s="44" customFormat="1" ht="28.5" customHeight="1">
      <c r="A23" s="48">
        <v>13</v>
      </c>
      <c r="B23" s="49" t="s">
        <v>61</v>
      </c>
      <c r="C23" s="48" t="s">
        <v>5</v>
      </c>
      <c r="D23" s="50" t="s">
        <v>48</v>
      </c>
      <c r="E23" s="50"/>
      <c r="F23" s="48">
        <v>27.8</v>
      </c>
      <c r="G23" s="48" t="s">
        <v>62</v>
      </c>
      <c r="H23" s="48" t="s">
        <v>63</v>
      </c>
      <c r="I23" s="51" t="str">
        <f>H23</f>
        <v>37</v>
      </c>
      <c r="J23" s="48">
        <v>40</v>
      </c>
      <c r="K23" s="48">
        <v>43</v>
      </c>
      <c r="L23" s="48" t="s">
        <v>36</v>
      </c>
    </row>
    <row r="24" spans="1:12" s="44" customFormat="1" ht="34.5" customHeight="1">
      <c r="A24" s="48">
        <v>14</v>
      </c>
      <c r="B24" s="49" t="s">
        <v>75</v>
      </c>
      <c r="C24" s="48" t="s">
        <v>5</v>
      </c>
      <c r="D24" s="50" t="s">
        <v>76</v>
      </c>
      <c r="E24" s="50"/>
      <c r="F24" s="48">
        <v>8.47</v>
      </c>
      <c r="G24" s="48">
        <v>21.5</v>
      </c>
      <c r="H24" s="48">
        <v>12.4</v>
      </c>
      <c r="I24" s="118" t="s">
        <v>128</v>
      </c>
      <c r="J24" s="48">
        <v>18</v>
      </c>
      <c r="K24" s="48"/>
      <c r="L24" s="48" t="s">
        <v>78</v>
      </c>
    </row>
    <row r="25" spans="1:12" s="44" customFormat="1" ht="24.75" customHeight="1">
      <c r="A25" s="48">
        <v>15</v>
      </c>
      <c r="B25" s="49" t="s">
        <v>64</v>
      </c>
      <c r="C25" s="48" t="s">
        <v>5</v>
      </c>
      <c r="D25" s="64" t="e">
        <f>#REF!</f>
        <v>#REF!</v>
      </c>
      <c r="E25" s="64" t="e">
        <f>#REF!</f>
        <v>#REF!</v>
      </c>
      <c r="F25" s="64" t="e">
        <f>#REF!</f>
        <v>#REF!</v>
      </c>
      <c r="G25" s="64" t="e">
        <f>#REF!</f>
        <v>#REF!</v>
      </c>
      <c r="H25" s="64" t="e">
        <f>#REF!</f>
        <v>#REF!</v>
      </c>
      <c r="I25" s="64" t="e">
        <f>#REF!</f>
        <v>#REF!</v>
      </c>
      <c r="J25" s="124" t="e">
        <f>#REF!</f>
        <v>#REF!</v>
      </c>
      <c r="K25" s="48">
        <v>1.16</v>
      </c>
      <c r="L25" s="48" t="s">
        <v>42</v>
      </c>
    </row>
    <row r="26" spans="1:12" s="44" customFormat="1" ht="24.75" customHeight="1">
      <c r="A26" s="48">
        <v>16</v>
      </c>
      <c r="B26" s="49" t="s">
        <v>65</v>
      </c>
      <c r="C26" s="48" t="s">
        <v>66</v>
      </c>
      <c r="D26" s="50" t="s">
        <v>103</v>
      </c>
      <c r="E26" s="50" t="e">
        <f>#REF!</f>
        <v>#REF!</v>
      </c>
      <c r="F26" s="50" t="e">
        <f>#REF!</f>
        <v>#REF!</v>
      </c>
      <c r="G26" s="50" t="e">
        <f>#REF!</f>
        <v>#REF!</v>
      </c>
      <c r="H26" s="50" t="e">
        <f>#REF!</f>
        <v>#REF!</v>
      </c>
      <c r="I26" s="50" t="e">
        <f>#REF!</f>
        <v>#REF!</v>
      </c>
      <c r="J26" s="48" t="e">
        <f>#REF!</f>
        <v>#REF!</v>
      </c>
      <c r="K26" s="48">
        <v>1.8</v>
      </c>
      <c r="L26" s="48" t="s">
        <v>78</v>
      </c>
    </row>
    <row r="27" spans="1:12" s="44" customFormat="1" ht="24.75" customHeight="1">
      <c r="A27" s="48">
        <v>17</v>
      </c>
      <c r="B27" s="49" t="s">
        <v>67</v>
      </c>
      <c r="C27" s="48" t="s">
        <v>5</v>
      </c>
      <c r="D27" s="64" t="e">
        <f>#REF!</f>
        <v>#REF!</v>
      </c>
      <c r="E27" s="64" t="e">
        <f>#REF!</f>
        <v>#REF!</v>
      </c>
      <c r="F27" s="64" t="e">
        <f>#REF!</f>
        <v>#REF!</v>
      </c>
      <c r="G27" s="64" t="e">
        <f>#REF!</f>
        <v>#REF!</v>
      </c>
      <c r="H27" s="64" t="e">
        <f>#REF!</f>
        <v>#REF!</v>
      </c>
      <c r="I27" s="64" t="e">
        <f>#REF!</f>
        <v>#REF!</v>
      </c>
      <c r="J27" s="124" t="e">
        <f>#REF!</f>
        <v>#REF!</v>
      </c>
      <c r="K27" s="48" t="s">
        <v>125</v>
      </c>
      <c r="L27" s="48" t="s">
        <v>78</v>
      </c>
    </row>
    <row r="28" spans="1:12" s="44" customFormat="1" ht="51" customHeight="1">
      <c r="A28" s="48">
        <v>18</v>
      </c>
      <c r="B28" s="49" t="s">
        <v>68</v>
      </c>
      <c r="C28" s="48" t="s">
        <v>5</v>
      </c>
      <c r="D28" s="50" t="e">
        <f>#REF!</f>
        <v>#REF!</v>
      </c>
      <c r="E28" s="50" t="e">
        <f>#REF!</f>
        <v>#REF!</v>
      </c>
      <c r="F28" s="50" t="e">
        <f>#REF!</f>
        <v>#REF!</v>
      </c>
      <c r="G28" s="50" t="e">
        <f>#REF!</f>
        <v>#REF!</v>
      </c>
      <c r="H28" s="50" t="e">
        <f>#REF!</f>
        <v>#REF!</v>
      </c>
      <c r="I28" s="66" t="e">
        <f>#REF!</f>
        <v>#REF!</v>
      </c>
      <c r="J28" s="66" t="e">
        <f>#REF!</f>
        <v>#REF!</v>
      </c>
      <c r="K28" s="48"/>
      <c r="L28" s="48" t="s">
        <v>30</v>
      </c>
    </row>
    <row r="29" spans="1:12" s="44" customFormat="1" ht="24.75" customHeight="1">
      <c r="A29" s="48">
        <v>19</v>
      </c>
      <c r="B29" s="49" t="s">
        <v>69</v>
      </c>
      <c r="C29" s="48" t="s">
        <v>70</v>
      </c>
      <c r="D29" s="50" t="s">
        <v>71</v>
      </c>
      <c r="E29" s="50"/>
      <c r="F29" s="48" t="s">
        <v>72</v>
      </c>
      <c r="G29" s="48" t="s">
        <v>72</v>
      </c>
      <c r="H29" s="54">
        <v>71.7</v>
      </c>
      <c r="I29" s="51">
        <f>H29</f>
        <v>71.7</v>
      </c>
      <c r="J29" s="48" t="s">
        <v>71</v>
      </c>
      <c r="K29" s="48"/>
      <c r="L29" s="48" t="s">
        <v>36</v>
      </c>
    </row>
    <row r="30" spans="1:12" s="44" customFormat="1" ht="33" customHeight="1">
      <c r="A30" s="1002" t="s">
        <v>129</v>
      </c>
      <c r="B30" s="1002"/>
      <c r="C30" s="1002"/>
      <c r="D30" s="1002"/>
      <c r="E30" s="1002"/>
      <c r="F30" s="1002"/>
      <c r="G30" s="1002"/>
      <c r="H30" s="1002"/>
      <c r="I30" s="1002"/>
      <c r="J30" s="1002"/>
      <c r="K30" s="1002"/>
      <c r="L30" s="1002"/>
    </row>
    <row r="31" spans="1:12" s="44" customFormat="1" ht="36.75" customHeight="1">
      <c r="A31" s="45">
        <v>20</v>
      </c>
      <c r="B31" s="46" t="s">
        <v>73</v>
      </c>
      <c r="C31" s="45" t="s">
        <v>5</v>
      </c>
      <c r="D31" s="47">
        <v>15</v>
      </c>
      <c r="E31" s="47"/>
      <c r="F31" s="45" t="s">
        <v>74</v>
      </c>
      <c r="G31" s="45">
        <v>20.8</v>
      </c>
      <c r="H31" s="45" t="s">
        <v>46</v>
      </c>
      <c r="I31" s="119">
        <f>(F31+G31+H31)/3</f>
        <v>16.733333333333334</v>
      </c>
      <c r="J31" s="45">
        <v>17</v>
      </c>
      <c r="K31" s="45">
        <v>18.5</v>
      </c>
      <c r="L31" s="45" t="s">
        <v>78</v>
      </c>
    </row>
    <row r="32" spans="1:12" s="44" customFormat="1" ht="32.25" customHeight="1">
      <c r="A32" s="48">
        <v>21</v>
      </c>
      <c r="B32" s="49" t="s">
        <v>77</v>
      </c>
      <c r="C32" s="48" t="s">
        <v>14</v>
      </c>
      <c r="D32" s="68" t="e">
        <f>#REF!</f>
        <v>#REF!</v>
      </c>
      <c r="E32" s="68" t="e">
        <f>#REF!</f>
        <v>#REF!</v>
      </c>
      <c r="F32" s="68" t="e">
        <f>#REF!</f>
        <v>#REF!</v>
      </c>
      <c r="G32" s="68" t="e">
        <f>#REF!</f>
        <v>#REF!</v>
      </c>
      <c r="H32" s="68" t="e">
        <f>#REF!</f>
        <v>#REF!</v>
      </c>
      <c r="I32" s="68" t="e">
        <f>#REF!</f>
        <v>#REF!</v>
      </c>
      <c r="J32" s="54" t="e">
        <f>#REF!</f>
        <v>#REF!</v>
      </c>
      <c r="K32" s="54">
        <v>15</v>
      </c>
      <c r="L32" s="48" t="s">
        <v>78</v>
      </c>
    </row>
    <row r="33" spans="1:12" s="44" customFormat="1" ht="33.75" customHeight="1">
      <c r="A33" s="48">
        <v>22</v>
      </c>
      <c r="B33" s="49" t="s">
        <v>79</v>
      </c>
      <c r="C33" s="48" t="s">
        <v>5</v>
      </c>
      <c r="D33" s="50" t="e">
        <f>#REF!</f>
        <v>#REF!</v>
      </c>
      <c r="E33" s="50" t="e">
        <f>#REF!</f>
        <v>#REF!</v>
      </c>
      <c r="F33" s="50" t="e">
        <f>#REF!</f>
        <v>#REF!</v>
      </c>
      <c r="G33" s="50" t="e">
        <f>#REF!</f>
        <v>#REF!</v>
      </c>
      <c r="H33" s="50" t="e">
        <f>#REF!</f>
        <v>#REF!</v>
      </c>
      <c r="I33" s="50" t="e">
        <f>#REF!</f>
        <v>#REF!</v>
      </c>
      <c r="J33" s="54" t="e">
        <f>#REF!</f>
        <v>#REF!</v>
      </c>
      <c r="K33" s="54" t="s">
        <v>99</v>
      </c>
      <c r="L33" s="48" t="s">
        <v>78</v>
      </c>
    </row>
    <row r="34" spans="1:12" s="44" customFormat="1" ht="31.5" customHeight="1">
      <c r="A34" s="48">
        <v>23</v>
      </c>
      <c r="B34" s="49" t="s">
        <v>80</v>
      </c>
      <c r="C34" s="48" t="s">
        <v>13</v>
      </c>
      <c r="D34" s="68" t="e">
        <f>#REF!</f>
        <v>#REF!</v>
      </c>
      <c r="E34" s="68" t="e">
        <f>#REF!</f>
        <v>#REF!</v>
      </c>
      <c r="F34" s="68" t="e">
        <f>#REF!</f>
        <v>#REF!</v>
      </c>
      <c r="G34" s="68" t="e">
        <f>#REF!</f>
        <v>#REF!</v>
      </c>
      <c r="H34" s="68" t="e">
        <f>#REF!</f>
        <v>#REF!</v>
      </c>
      <c r="I34" s="68" t="e">
        <f>#REF!</f>
        <v>#REF!</v>
      </c>
      <c r="J34" s="54" t="e">
        <f>#REF!</f>
        <v>#REF!</v>
      </c>
      <c r="K34" s="54">
        <v>74</v>
      </c>
      <c r="L34" s="48" t="s">
        <v>42</v>
      </c>
    </row>
    <row r="35" spans="1:12" s="44" customFormat="1" ht="24.75" customHeight="1">
      <c r="A35" s="48">
        <v>24</v>
      </c>
      <c r="B35" s="49" t="s">
        <v>81</v>
      </c>
      <c r="C35" s="48" t="s">
        <v>82</v>
      </c>
      <c r="D35" s="60" t="e">
        <f>#REF!</f>
        <v>#REF!</v>
      </c>
      <c r="E35" s="60" t="e">
        <f>#REF!</f>
        <v>#REF!</v>
      </c>
      <c r="F35" s="60" t="e">
        <f>#REF!</f>
        <v>#REF!</v>
      </c>
      <c r="G35" s="60" t="e">
        <f>#REF!</f>
        <v>#REF!</v>
      </c>
      <c r="H35" s="60" t="e">
        <f>#REF!</f>
        <v>#REF!</v>
      </c>
      <c r="I35" s="60" t="e">
        <f>#REF!</f>
        <v>#REF!</v>
      </c>
      <c r="J35" s="60" t="e">
        <f>#REF!</f>
        <v>#REF!</v>
      </c>
      <c r="K35" s="48">
        <v>7</v>
      </c>
      <c r="L35" s="48" t="s">
        <v>30</v>
      </c>
    </row>
    <row r="36" spans="1:12" s="44" customFormat="1" ht="35.25" customHeight="1">
      <c r="A36" s="48">
        <v>25</v>
      </c>
      <c r="B36" s="49" t="s">
        <v>83</v>
      </c>
      <c r="C36" s="48" t="s">
        <v>5</v>
      </c>
      <c r="D36" s="67" t="e">
        <f>#REF!</f>
        <v>#REF!</v>
      </c>
      <c r="E36" s="67" t="e">
        <f>#REF!</f>
        <v>#REF!</v>
      </c>
      <c r="F36" s="67" t="e">
        <f>#REF!</f>
        <v>#REF!</v>
      </c>
      <c r="G36" s="67" t="e">
        <f>#REF!</f>
        <v>#REF!</v>
      </c>
      <c r="H36" s="67" t="e">
        <f>#REF!</f>
        <v>#REF!</v>
      </c>
      <c r="I36" s="51" t="e">
        <f>#REF!</f>
        <v>#REF!</v>
      </c>
      <c r="J36" s="48" t="e">
        <f>#REF!</f>
        <v>#REF!</v>
      </c>
      <c r="K36" s="61" t="s">
        <v>12</v>
      </c>
      <c r="L36" s="48" t="s">
        <v>30</v>
      </c>
    </row>
    <row r="37" spans="1:12" s="44" customFormat="1" ht="24.75" customHeight="1">
      <c r="A37" s="48">
        <v>26</v>
      </c>
      <c r="B37" s="49" t="s">
        <v>84</v>
      </c>
      <c r="C37" s="48" t="s">
        <v>85</v>
      </c>
      <c r="D37" s="65" t="e">
        <f>#REF!</f>
        <v>#REF!</v>
      </c>
      <c r="E37" s="65" t="e">
        <f>#REF!</f>
        <v>#REF!</v>
      </c>
      <c r="F37" s="65" t="e">
        <f>#REF!</f>
        <v>#REF!</v>
      </c>
      <c r="G37" s="65" t="e">
        <f>#REF!</f>
        <v>#REF!</v>
      </c>
      <c r="H37" s="65" t="e">
        <f>#REF!</f>
        <v>#REF!</v>
      </c>
      <c r="I37" s="68" t="e">
        <f>#REF!</f>
        <v>#REF!</v>
      </c>
      <c r="J37" s="48" t="e">
        <f>#REF!</f>
        <v>#REF!</v>
      </c>
      <c r="K37" s="48">
        <v>100</v>
      </c>
      <c r="L37" s="48" t="s">
        <v>78</v>
      </c>
    </row>
    <row r="38" spans="1:12" s="44" customFormat="1" ht="24.75" customHeight="1">
      <c r="A38" s="48">
        <v>27</v>
      </c>
      <c r="B38" s="49" t="s">
        <v>86</v>
      </c>
      <c r="C38" s="48" t="s">
        <v>87</v>
      </c>
      <c r="D38" s="50" t="e">
        <f>#REF!</f>
        <v>#REF!</v>
      </c>
      <c r="E38" s="50" t="e">
        <f>#REF!</f>
        <v>#REF!</v>
      </c>
      <c r="F38" s="50" t="e">
        <f>#REF!</f>
        <v>#REF!</v>
      </c>
      <c r="G38" s="50" t="e">
        <f>#REF!</f>
        <v>#REF!</v>
      </c>
      <c r="H38" s="50" t="e">
        <f>#REF!</f>
        <v>#REF!</v>
      </c>
      <c r="I38" s="50" t="e">
        <f>#REF!</f>
        <v>#REF!</v>
      </c>
      <c r="J38" s="124" t="e">
        <f>#REF!</f>
        <v>#REF!</v>
      </c>
      <c r="K38" s="48">
        <v>9.5</v>
      </c>
      <c r="L38" s="48" t="s">
        <v>42</v>
      </c>
    </row>
    <row r="39" spans="1:12" s="44" customFormat="1" ht="24.75" customHeight="1">
      <c r="A39" s="48" t="s">
        <v>88</v>
      </c>
      <c r="B39" s="49" t="s">
        <v>89</v>
      </c>
      <c r="C39" s="48"/>
      <c r="D39" s="50"/>
      <c r="E39" s="50"/>
      <c r="F39" s="48"/>
      <c r="G39" s="48"/>
      <c r="H39" s="48"/>
      <c r="I39" s="48"/>
      <c r="J39" s="48"/>
      <c r="K39" s="48"/>
      <c r="L39" s="48"/>
    </row>
    <row r="40" spans="1:12" s="44" customFormat="1" ht="24.75" customHeight="1">
      <c r="A40" s="48">
        <v>28</v>
      </c>
      <c r="B40" s="49" t="s">
        <v>90</v>
      </c>
      <c r="C40" s="48" t="s">
        <v>5</v>
      </c>
      <c r="D40" s="50" t="e">
        <f>#REF!</f>
        <v>#REF!</v>
      </c>
      <c r="E40" s="50" t="e">
        <f>#REF!</f>
        <v>#REF!</v>
      </c>
      <c r="F40" s="50" t="e">
        <f>#REF!</f>
        <v>#REF!</v>
      </c>
      <c r="G40" s="50" t="e">
        <f>#REF!</f>
        <v>#REF!</v>
      </c>
      <c r="H40" s="50" t="e">
        <f>#REF!</f>
        <v>#REF!</v>
      </c>
      <c r="I40" s="59" t="e">
        <f>+#REF!</f>
        <v>#REF!</v>
      </c>
      <c r="J40" s="48" t="e">
        <f>#REF!</f>
        <v>#REF!</v>
      </c>
      <c r="K40" s="48">
        <v>40.6</v>
      </c>
      <c r="L40" s="48" t="s">
        <v>42</v>
      </c>
    </row>
    <row r="41" spans="1:12" s="44" customFormat="1" ht="34.5" customHeight="1">
      <c r="A41" s="48">
        <v>29</v>
      </c>
      <c r="B41" s="49" t="s">
        <v>91</v>
      </c>
      <c r="C41" s="48" t="s">
        <v>5</v>
      </c>
      <c r="D41" s="60" t="e">
        <f>#REF!</f>
        <v>#REF!</v>
      </c>
      <c r="E41" s="60" t="e">
        <f>#REF!</f>
        <v>#REF!</v>
      </c>
      <c r="F41" s="60" t="e">
        <f>#REF!</f>
        <v>#REF!</v>
      </c>
      <c r="G41" s="60" t="e">
        <f>#REF!</f>
        <v>#REF!</v>
      </c>
      <c r="H41" s="60" t="e">
        <f>#REF!</f>
        <v>#REF!</v>
      </c>
      <c r="I41" s="51" t="e">
        <f>+#REF!</f>
        <v>#REF!</v>
      </c>
      <c r="J41" s="48" t="e">
        <f>#REF!</f>
        <v>#REF!</v>
      </c>
      <c r="K41" s="48">
        <v>84</v>
      </c>
      <c r="L41" s="48" t="s">
        <v>78</v>
      </c>
    </row>
    <row r="42" spans="1:12" s="44" customFormat="1" ht="31.5" customHeight="1">
      <c r="A42" s="48">
        <v>30</v>
      </c>
      <c r="B42" s="49" t="s">
        <v>92</v>
      </c>
      <c r="C42" s="48" t="s">
        <v>5</v>
      </c>
      <c r="D42" s="60" t="e">
        <f>#REF!</f>
        <v>#REF!</v>
      </c>
      <c r="E42" s="60" t="e">
        <f>#REF!</f>
        <v>#REF!</v>
      </c>
      <c r="F42" s="60" t="e">
        <f>#REF!</f>
        <v>#REF!</v>
      </c>
      <c r="G42" s="60" t="e">
        <f>#REF!</f>
        <v>#REF!</v>
      </c>
      <c r="H42" s="60" t="e">
        <f>#REF!</f>
        <v>#REF!</v>
      </c>
      <c r="I42" s="60" t="e">
        <f>#REF!</f>
        <v>#REF!</v>
      </c>
      <c r="J42" s="48" t="e">
        <f>#REF!</f>
        <v>#REF!</v>
      </c>
      <c r="K42" s="48">
        <v>95</v>
      </c>
      <c r="L42" s="48" t="s">
        <v>30</v>
      </c>
    </row>
    <row r="43" spans="1:12" s="41" customFormat="1" ht="17.25" thickBot="1">
      <c r="A43" s="42"/>
      <c r="B43" s="42"/>
      <c r="C43" s="42"/>
      <c r="D43" s="43"/>
      <c r="E43" s="43"/>
      <c r="F43" s="42"/>
      <c r="G43" s="42"/>
      <c r="H43" s="42"/>
      <c r="I43" s="42"/>
      <c r="J43" s="42"/>
      <c r="K43" s="42"/>
      <c r="L43" s="42"/>
    </row>
    <row r="44" ht="13.5" thickTop="1"/>
  </sheetData>
  <sheetProtection/>
  <mergeCells count="14">
    <mergeCell ref="I4:I5"/>
    <mergeCell ref="J4:K4"/>
    <mergeCell ref="L4:L5"/>
    <mergeCell ref="E4:E5"/>
    <mergeCell ref="D4:D5"/>
    <mergeCell ref="F4:F5"/>
    <mergeCell ref="G4:G5"/>
    <mergeCell ref="H4:H5"/>
    <mergeCell ref="A30:L30"/>
    <mergeCell ref="A1:L1"/>
    <mergeCell ref="A2:L2"/>
    <mergeCell ref="A4:A5"/>
    <mergeCell ref="B4:B5"/>
    <mergeCell ref="C4:C5"/>
  </mergeCells>
  <printOptions/>
  <pageMargins left="0.62" right="0.41" top="0.9" bottom="1.2" header="0.43" footer="0.5"/>
  <pageSetup horizontalDpi="300" verticalDpi="300" orientation="landscape" paperSize="9" scale="95" r:id="rId3"/>
  <headerFooter alignWithMargins="0">
    <oddFooter>&amp;C&amp;P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4"/>
  <sheetViews>
    <sheetView zoomScalePageLayoutView="0" workbookViewId="0" topLeftCell="A1">
      <selection activeCell="C40" sqref="C40"/>
    </sheetView>
  </sheetViews>
  <sheetFormatPr defaultColWidth="9.140625" defaultRowHeight="15" customHeight="1"/>
  <cols>
    <col min="1" max="1" width="6.8515625" style="207" customWidth="1"/>
    <col min="2" max="2" width="5.421875" style="207" customWidth="1"/>
    <col min="3" max="3" width="41.421875" style="206" customWidth="1"/>
    <col min="4" max="9" width="8.8515625" style="206" hidden="1" customWidth="1"/>
    <col min="10" max="15" width="14.421875" style="206" customWidth="1"/>
    <col min="16" max="18" width="9.140625" style="206" customWidth="1"/>
    <col min="19" max="19" width="11.57421875" style="206" bestFit="1" customWidth="1"/>
    <col min="20" max="16384" width="9.140625" style="206" customWidth="1"/>
  </cols>
  <sheetData>
    <row r="1" spans="1:15" ht="23.25" customHeight="1">
      <c r="A1" s="1013" t="s">
        <v>279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</row>
    <row r="2" spans="1:15" ht="49.5" customHeight="1">
      <c r="A2" s="1014" t="s">
        <v>283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</row>
    <row r="3" spans="1:15" ht="15" customHeight="1">
      <c r="A3" s="1015"/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1015"/>
    </row>
    <row r="4" spans="3:15" ht="21" customHeight="1">
      <c r="C4" s="208"/>
      <c r="D4" s="208"/>
      <c r="E4" s="208"/>
      <c r="F4" s="208"/>
      <c r="G4" s="208"/>
      <c r="H4" s="208"/>
      <c r="I4" s="208"/>
      <c r="J4" s="208"/>
      <c r="K4" s="208"/>
      <c r="L4" s="209"/>
      <c r="M4" s="1016" t="s">
        <v>285</v>
      </c>
      <c r="N4" s="1016"/>
      <c r="O4" s="1016"/>
    </row>
    <row r="5" spans="1:15" s="212" customFormat="1" ht="38.25" customHeight="1">
      <c r="A5" s="210" t="s">
        <v>0</v>
      </c>
      <c r="B5" s="1018" t="s">
        <v>277</v>
      </c>
      <c r="C5" s="1019"/>
      <c r="D5" s="210">
        <v>2000</v>
      </c>
      <c r="E5" s="210">
        <v>2001</v>
      </c>
      <c r="F5" s="210">
        <v>2002</v>
      </c>
      <c r="G5" s="210">
        <v>2003</v>
      </c>
      <c r="H5" s="210">
        <v>2004</v>
      </c>
      <c r="I5" s="210">
        <v>2005</v>
      </c>
      <c r="J5" s="210" t="s">
        <v>276</v>
      </c>
      <c r="K5" s="210">
        <v>2011</v>
      </c>
      <c r="L5" s="211">
        <v>2012</v>
      </c>
      <c r="M5" s="210">
        <v>2013</v>
      </c>
      <c r="N5" s="211">
        <v>2014</v>
      </c>
      <c r="O5" s="210">
        <v>2015</v>
      </c>
    </row>
    <row r="6" spans="1:15" s="212" customFormat="1" ht="27" customHeight="1">
      <c r="A6" s="213"/>
      <c r="B6" s="1020" t="s">
        <v>215</v>
      </c>
      <c r="C6" s="1021"/>
      <c r="D6" s="214"/>
      <c r="E6" s="214"/>
      <c r="F6" s="214"/>
      <c r="G6" s="214"/>
      <c r="H6" s="214"/>
      <c r="I6" s="214"/>
      <c r="J6" s="343" t="e">
        <f>+K6+L6+M6+N6+O6</f>
        <v>#REF!</v>
      </c>
      <c r="K6" s="215" t="e">
        <f>+K8+K10+K23</f>
        <v>#REF!</v>
      </c>
      <c r="L6" s="215" t="e">
        <f>+L8+L10+L23</f>
        <v>#REF!</v>
      </c>
      <c r="M6" s="215" t="e">
        <f>+M8+M10+M23</f>
        <v>#REF!</v>
      </c>
      <c r="N6" s="215" t="e">
        <f>+N8+N10+N23</f>
        <v>#REF!</v>
      </c>
      <c r="O6" s="215" t="e">
        <f>+O8+O10+O23</f>
        <v>#REF!</v>
      </c>
    </row>
    <row r="7" spans="1:22" ht="30" customHeight="1" hidden="1">
      <c r="A7" s="216"/>
      <c r="B7" s="1026"/>
      <c r="C7" s="1027"/>
      <c r="D7" s="344"/>
      <c r="E7" s="345"/>
      <c r="F7" s="345"/>
      <c r="G7" s="345"/>
      <c r="H7" s="345"/>
      <c r="I7" s="345"/>
      <c r="J7" s="346" t="e">
        <f aca="true" t="shared" si="0" ref="J7:O7">+J9+J14+J16+J18+J20+J22+J27+J29+J31+J33+J35+J37+J39+J41+J43+J45+J47+J49+J51</f>
        <v>#REF!</v>
      </c>
      <c r="K7" s="346" t="e">
        <f t="shared" si="0"/>
        <v>#REF!</v>
      </c>
      <c r="L7" s="346" t="e">
        <f t="shared" si="0"/>
        <v>#REF!</v>
      </c>
      <c r="M7" s="347" t="e">
        <f t="shared" si="0"/>
        <v>#REF!</v>
      </c>
      <c r="N7" s="346" t="e">
        <f t="shared" si="0"/>
        <v>#REF!</v>
      </c>
      <c r="O7" s="346" t="e">
        <f t="shared" si="0"/>
        <v>#REF!</v>
      </c>
      <c r="P7" s="217"/>
      <c r="Q7" s="218"/>
      <c r="S7" s="219"/>
      <c r="T7" s="218"/>
      <c r="V7" s="219"/>
    </row>
    <row r="8" spans="1:22" ht="18" customHeight="1">
      <c r="A8" s="216">
        <v>1</v>
      </c>
      <c r="B8" s="1011" t="s">
        <v>216</v>
      </c>
      <c r="C8" s="1012"/>
      <c r="D8" s="348" t="e">
        <f>+#REF!+#REF!</f>
        <v>#REF!</v>
      </c>
      <c r="E8" s="349" t="e">
        <f>+#REF!+#REF!</f>
        <v>#REF!</v>
      </c>
      <c r="F8" s="349" t="e">
        <f>+#REF!+#REF!</f>
        <v>#REF!</v>
      </c>
      <c r="G8" s="349" t="e">
        <f>+#REF!+#REF!</f>
        <v>#REF!</v>
      </c>
      <c r="H8" s="349" t="e">
        <f>+#REF!+#REF!</f>
        <v>#REF!</v>
      </c>
      <c r="I8" s="349" t="e">
        <f>+#REF!+#REF!</f>
        <v>#REF!</v>
      </c>
      <c r="J8" s="350" t="e">
        <f>+K8+L8+M8+N8+O8</f>
        <v>#REF!</v>
      </c>
      <c r="K8" s="350" t="e">
        <f>+K$54*K9/100</f>
        <v>#REF!</v>
      </c>
      <c r="L8" s="350" t="e">
        <f>+L$54*L9/100</f>
        <v>#REF!</v>
      </c>
      <c r="M8" s="351" t="e">
        <f>+M$54*M9/100</f>
        <v>#REF!</v>
      </c>
      <c r="N8" s="350" t="e">
        <f>+N$54*N9/100</f>
        <v>#REF!</v>
      </c>
      <c r="O8" s="350" t="e">
        <f>+O$54*O9/100</f>
        <v>#REF!</v>
      </c>
      <c r="P8" s="219"/>
      <c r="Q8" s="218"/>
      <c r="S8" s="219"/>
      <c r="T8" s="218"/>
      <c r="V8" s="219"/>
    </row>
    <row r="9" spans="1:22" s="223" customFormat="1" ht="18" customHeight="1">
      <c r="A9" s="220"/>
      <c r="B9" s="1009" t="s">
        <v>217</v>
      </c>
      <c r="C9" s="1010"/>
      <c r="D9" s="352"/>
      <c r="E9" s="353"/>
      <c r="F9" s="353"/>
      <c r="G9" s="353"/>
      <c r="H9" s="353"/>
      <c r="I9" s="353"/>
      <c r="J9" s="354">
        <v>6.2</v>
      </c>
      <c r="K9" s="354">
        <v>6.2</v>
      </c>
      <c r="L9" s="354">
        <v>6.2</v>
      </c>
      <c r="M9" s="355">
        <v>6.2</v>
      </c>
      <c r="N9" s="354">
        <v>6.2</v>
      </c>
      <c r="O9" s="354">
        <v>6.2</v>
      </c>
      <c r="P9" s="221"/>
      <c r="Q9" s="222"/>
      <c r="S9" s="221"/>
      <c r="T9" s="222"/>
      <c r="V9" s="221"/>
    </row>
    <row r="10" spans="1:22" ht="18" customHeight="1">
      <c r="A10" s="216">
        <v>2</v>
      </c>
      <c r="B10" s="1011" t="s">
        <v>218</v>
      </c>
      <c r="C10" s="1012"/>
      <c r="D10" s="348"/>
      <c r="E10" s="349"/>
      <c r="F10" s="349"/>
      <c r="G10" s="349"/>
      <c r="H10" s="349"/>
      <c r="I10" s="349"/>
      <c r="J10" s="350" t="e">
        <f>+J13+J15+J17+J19+J21</f>
        <v>#REF!</v>
      </c>
      <c r="K10" s="350" t="e">
        <f aca="true" t="shared" si="1" ref="K10:O11">+K13+K15+K17+K19+K21</f>
        <v>#REF!</v>
      </c>
      <c r="L10" s="350" t="e">
        <f t="shared" si="1"/>
        <v>#REF!</v>
      </c>
      <c r="M10" s="351" t="e">
        <f t="shared" si="1"/>
        <v>#REF!</v>
      </c>
      <c r="N10" s="350" t="e">
        <f t="shared" si="1"/>
        <v>#REF!</v>
      </c>
      <c r="O10" s="350" t="e">
        <f t="shared" si="1"/>
        <v>#REF!</v>
      </c>
      <c r="P10" s="219"/>
      <c r="Q10" s="218"/>
      <c r="S10" s="219"/>
      <c r="T10" s="218"/>
      <c r="V10" s="219"/>
    </row>
    <row r="11" spans="1:15" s="223" customFormat="1" ht="18" customHeight="1">
      <c r="A11" s="220"/>
      <c r="B11" s="1017" t="s">
        <v>217</v>
      </c>
      <c r="C11" s="1010"/>
      <c r="D11" s="353"/>
      <c r="E11" s="353"/>
      <c r="F11" s="353"/>
      <c r="G11" s="353"/>
      <c r="H11" s="353"/>
      <c r="I11" s="353"/>
      <c r="J11" s="354" t="e">
        <f>+J14+J16+J18+J20+J22</f>
        <v>#REF!</v>
      </c>
      <c r="K11" s="354">
        <f t="shared" si="1"/>
        <v>41.8</v>
      </c>
      <c r="L11" s="354">
        <f t="shared" si="1"/>
        <v>42.5</v>
      </c>
      <c r="M11" s="354">
        <f t="shared" si="1"/>
        <v>43.3</v>
      </c>
      <c r="N11" s="354">
        <f t="shared" si="1"/>
        <v>44.00000000000001</v>
      </c>
      <c r="O11" s="354">
        <f t="shared" si="1"/>
        <v>44.800000000000004</v>
      </c>
    </row>
    <row r="12" spans="1:15" s="223" customFormat="1" ht="18" customHeight="1">
      <c r="A12" s="220"/>
      <c r="B12" s="1017" t="s">
        <v>214</v>
      </c>
      <c r="C12" s="1010"/>
      <c r="D12" s="353"/>
      <c r="E12" s="353"/>
      <c r="F12" s="353"/>
      <c r="G12" s="353"/>
      <c r="H12" s="353"/>
      <c r="I12" s="353"/>
      <c r="J12" s="354"/>
      <c r="K12" s="354"/>
      <c r="L12" s="354"/>
      <c r="M12" s="354"/>
      <c r="N12" s="354"/>
      <c r="O12" s="354"/>
    </row>
    <row r="13" spans="1:15" ht="27" customHeight="1">
      <c r="A13" s="224"/>
      <c r="B13" s="225"/>
      <c r="C13" s="226" t="s">
        <v>220</v>
      </c>
      <c r="D13" s="227">
        <v>9588</v>
      </c>
      <c r="E13" s="227">
        <v>8141.1</v>
      </c>
      <c r="F13" s="227">
        <v>7964</v>
      </c>
      <c r="G13" s="227">
        <v>11342</v>
      </c>
      <c r="H13" s="227">
        <v>22477</v>
      </c>
      <c r="I13" s="227">
        <v>26862</v>
      </c>
      <c r="J13" s="237" t="e">
        <f>+K13+L13+M13+N13+O13</f>
        <v>#REF!</v>
      </c>
      <c r="K13" s="237" t="e">
        <f>+K$54*K14/100</f>
        <v>#REF!</v>
      </c>
      <c r="L13" s="237" t="e">
        <f>+L$54*L14/100</f>
        <v>#REF!</v>
      </c>
      <c r="M13" s="237" t="e">
        <f>+M$54*M14/100</f>
        <v>#REF!</v>
      </c>
      <c r="N13" s="237" t="e">
        <f>+N$54*N14/100</f>
        <v>#REF!</v>
      </c>
      <c r="O13" s="237" t="e">
        <f>+O$54*O14/100</f>
        <v>#REF!</v>
      </c>
    </row>
    <row r="14" spans="1:15" s="223" customFormat="1" ht="26.25" customHeight="1">
      <c r="A14" s="228"/>
      <c r="B14" s="229"/>
      <c r="C14" s="230" t="s">
        <v>217</v>
      </c>
      <c r="D14" s="356"/>
      <c r="E14" s="356"/>
      <c r="F14" s="356"/>
      <c r="G14" s="356"/>
      <c r="H14" s="356"/>
      <c r="I14" s="356"/>
      <c r="J14" s="357" t="e">
        <f>100*J13/J$54</f>
        <v>#REF!</v>
      </c>
      <c r="K14" s="357">
        <v>8.2</v>
      </c>
      <c r="L14" s="357">
        <v>7.8</v>
      </c>
      <c r="M14" s="357">
        <v>7.4</v>
      </c>
      <c r="N14" s="357">
        <v>7</v>
      </c>
      <c r="O14" s="357">
        <v>6.6</v>
      </c>
    </row>
    <row r="15" spans="1:19" ht="25.5" customHeight="1">
      <c r="A15" s="224"/>
      <c r="B15" s="225"/>
      <c r="C15" s="226" t="s">
        <v>221</v>
      </c>
      <c r="D15" s="227">
        <v>29172</v>
      </c>
      <c r="E15" s="227">
        <v>38140.5</v>
      </c>
      <c r="F15" s="227">
        <v>45337</v>
      </c>
      <c r="G15" s="227">
        <v>51060</v>
      </c>
      <c r="H15" s="227">
        <v>58715</v>
      </c>
      <c r="I15" s="227">
        <v>68297</v>
      </c>
      <c r="J15" s="237" t="e">
        <f>+K15+L15+M15+N15+O15</f>
        <v>#REF!</v>
      </c>
      <c r="K15" s="237" t="e">
        <f>+K$54*K16/100</f>
        <v>#REF!</v>
      </c>
      <c r="L15" s="237" t="e">
        <f>+L$54*L16/100</f>
        <v>#REF!</v>
      </c>
      <c r="M15" s="237" t="e">
        <f>+M$54*M16/100</f>
        <v>#REF!</v>
      </c>
      <c r="N15" s="237" t="e">
        <f>+N$54*N16/100</f>
        <v>#REF!</v>
      </c>
      <c r="O15" s="237" t="e">
        <f>+O$54*O16/100</f>
        <v>#REF!</v>
      </c>
      <c r="R15" s="206">
        <v>43550</v>
      </c>
      <c r="S15" s="231" t="e">
        <f>+L17+L19</f>
        <v>#REF!</v>
      </c>
    </row>
    <row r="16" spans="1:15" s="223" customFormat="1" ht="24" customHeight="1">
      <c r="A16" s="228"/>
      <c r="B16" s="229"/>
      <c r="C16" s="230" t="s">
        <v>217</v>
      </c>
      <c r="D16" s="356"/>
      <c r="E16" s="356"/>
      <c r="F16" s="356"/>
      <c r="G16" s="356"/>
      <c r="H16" s="356"/>
      <c r="I16" s="356"/>
      <c r="J16" s="357" t="e">
        <f>100*J15/J$54</f>
        <v>#REF!</v>
      </c>
      <c r="K16" s="357">
        <v>17.5</v>
      </c>
      <c r="L16" s="357">
        <v>18</v>
      </c>
      <c r="M16" s="357">
        <v>18.5</v>
      </c>
      <c r="N16" s="357">
        <v>19</v>
      </c>
      <c r="O16" s="357">
        <v>19.5</v>
      </c>
    </row>
    <row r="17" spans="1:19" ht="39" customHeight="1">
      <c r="A17" s="224"/>
      <c r="B17" s="225"/>
      <c r="C17" s="226" t="s">
        <v>222</v>
      </c>
      <c r="D17" s="227">
        <v>16983</v>
      </c>
      <c r="E17" s="227">
        <v>16921.6</v>
      </c>
      <c r="F17" s="227">
        <v>20943</v>
      </c>
      <c r="G17" s="227">
        <v>24884</v>
      </c>
      <c r="H17" s="227">
        <v>31983</v>
      </c>
      <c r="I17" s="227">
        <v>37743</v>
      </c>
      <c r="J17" s="237" t="e">
        <f>+K17+L17+M17+N17+O17</f>
        <v>#REF!</v>
      </c>
      <c r="K17" s="237" t="e">
        <f>+K$54*K18/100</f>
        <v>#REF!</v>
      </c>
      <c r="L17" s="237" t="e">
        <f>+L$54*L18/100</f>
        <v>#REF!</v>
      </c>
      <c r="M17" s="237" t="e">
        <f>+M$54*M18/100</f>
        <v>#REF!</v>
      </c>
      <c r="N17" s="237" t="e">
        <f>+N$54*N18/100</f>
        <v>#REF!</v>
      </c>
      <c r="O17" s="237" t="e">
        <f>+O$54*O18/100</f>
        <v>#REF!</v>
      </c>
      <c r="S17" s="206" t="e">
        <f>+L17/S15</f>
        <v>#REF!</v>
      </c>
    </row>
    <row r="18" spans="1:15" s="223" customFormat="1" ht="22.5" customHeight="1">
      <c r="A18" s="228"/>
      <c r="B18" s="229"/>
      <c r="C18" s="230" t="s">
        <v>217</v>
      </c>
      <c r="D18" s="356"/>
      <c r="E18" s="356"/>
      <c r="F18" s="356"/>
      <c r="G18" s="356"/>
      <c r="H18" s="356"/>
      <c r="I18" s="356"/>
      <c r="J18" s="357" t="e">
        <f>100*J17/J$54</f>
        <v>#REF!</v>
      </c>
      <c r="K18" s="357">
        <v>9.5</v>
      </c>
      <c r="L18" s="357">
        <v>9.7</v>
      </c>
      <c r="M18" s="357">
        <v>10</v>
      </c>
      <c r="N18" s="357">
        <v>10.2</v>
      </c>
      <c r="O18" s="357">
        <v>10.5</v>
      </c>
    </row>
    <row r="19" spans="1:19" ht="36.75" customHeight="1">
      <c r="A19" s="224"/>
      <c r="B19" s="225"/>
      <c r="C19" s="226" t="s">
        <v>223</v>
      </c>
      <c r="D19" s="227"/>
      <c r="E19" s="227"/>
      <c r="F19" s="227"/>
      <c r="G19" s="227"/>
      <c r="H19" s="227"/>
      <c r="I19" s="227"/>
      <c r="J19" s="237" t="e">
        <f>+K19+L19+M19+N19+O19</f>
        <v>#REF!</v>
      </c>
      <c r="K19" s="237" t="e">
        <f>+K$54*K20/100</f>
        <v>#REF!</v>
      </c>
      <c r="L19" s="237" t="e">
        <f>+L$54*L20/100</f>
        <v>#REF!</v>
      </c>
      <c r="M19" s="237" t="e">
        <f>+M$54*M20/100</f>
        <v>#REF!</v>
      </c>
      <c r="N19" s="237" t="e">
        <f>+N$54*N20/100</f>
        <v>#REF!</v>
      </c>
      <c r="O19" s="237" t="e">
        <f>+O$54*O20/100</f>
        <v>#REF!</v>
      </c>
      <c r="S19" s="206" t="e">
        <f>+L19/S15</f>
        <v>#REF!</v>
      </c>
    </row>
    <row r="20" spans="1:15" s="223" customFormat="1" ht="18" customHeight="1">
      <c r="A20" s="228"/>
      <c r="B20" s="229"/>
      <c r="C20" s="230" t="s">
        <v>217</v>
      </c>
      <c r="D20" s="356"/>
      <c r="E20" s="356"/>
      <c r="F20" s="356"/>
      <c r="G20" s="356"/>
      <c r="H20" s="356"/>
      <c r="I20" s="356"/>
      <c r="J20" s="357" t="e">
        <f>100*J19/J$54</f>
        <v>#REF!</v>
      </c>
      <c r="K20" s="357">
        <v>2.8</v>
      </c>
      <c r="L20" s="357">
        <v>2.9</v>
      </c>
      <c r="M20" s="357">
        <v>3</v>
      </c>
      <c r="N20" s="357">
        <v>3.1</v>
      </c>
      <c r="O20" s="357">
        <v>3.2</v>
      </c>
    </row>
    <row r="21" spans="1:15" ht="24.75" customHeight="1">
      <c r="A21" s="224"/>
      <c r="B21" s="225"/>
      <c r="C21" s="226" t="s">
        <v>224</v>
      </c>
      <c r="D21" s="227">
        <v>3563</v>
      </c>
      <c r="E21" s="227">
        <v>9045.8</v>
      </c>
      <c r="F21" s="227">
        <v>10490</v>
      </c>
      <c r="G21" s="227">
        <v>11508</v>
      </c>
      <c r="H21" s="227">
        <v>11197</v>
      </c>
      <c r="I21" s="227">
        <v>13202</v>
      </c>
      <c r="J21" s="237" t="e">
        <f>+K21+L21+M21+N21+O21</f>
        <v>#REF!</v>
      </c>
      <c r="K21" s="237" t="e">
        <f>+K$54*K22/100</f>
        <v>#REF!</v>
      </c>
      <c r="L21" s="237" t="e">
        <f>+L$54*L22/100</f>
        <v>#REF!</v>
      </c>
      <c r="M21" s="237" t="e">
        <f>+M$54*M22/100</f>
        <v>#REF!</v>
      </c>
      <c r="N21" s="237" t="e">
        <f>+N$54*N22/100</f>
        <v>#REF!</v>
      </c>
      <c r="O21" s="237" t="e">
        <f>+O$54*O22/100</f>
        <v>#REF!</v>
      </c>
    </row>
    <row r="22" spans="1:22" s="223" customFormat="1" ht="21" customHeight="1">
      <c r="A22" s="220"/>
      <c r="B22" s="232"/>
      <c r="C22" s="230" t="s">
        <v>217</v>
      </c>
      <c r="D22" s="352"/>
      <c r="E22" s="353"/>
      <c r="F22" s="353"/>
      <c r="G22" s="353"/>
      <c r="H22" s="353"/>
      <c r="I22" s="353"/>
      <c r="J22" s="358" t="e">
        <f>100*J21/J$54</f>
        <v>#REF!</v>
      </c>
      <c r="K22" s="354">
        <v>3.8</v>
      </c>
      <c r="L22" s="354">
        <v>4.1</v>
      </c>
      <c r="M22" s="355">
        <v>4.4</v>
      </c>
      <c r="N22" s="354">
        <v>4.7</v>
      </c>
      <c r="O22" s="354">
        <v>5</v>
      </c>
      <c r="P22" s="221"/>
      <c r="Q22" s="222"/>
      <c r="S22" s="221"/>
      <c r="T22" s="222"/>
      <c r="V22" s="221"/>
    </row>
    <row r="23" spans="1:20" s="223" customFormat="1" ht="23.25" customHeight="1">
      <c r="A23" s="224">
        <v>3</v>
      </c>
      <c r="B23" s="1022" t="s">
        <v>149</v>
      </c>
      <c r="C23" s="1023"/>
      <c r="D23" s="352"/>
      <c r="E23" s="353"/>
      <c r="F23" s="353"/>
      <c r="G23" s="353"/>
      <c r="H23" s="353"/>
      <c r="I23" s="353"/>
      <c r="J23" s="359" t="e">
        <f aca="true" t="shared" si="2" ref="J23:O24">+J26+J28+J30+J32+J34+J36+J38+J40+J44+J46+J50</f>
        <v>#REF!</v>
      </c>
      <c r="K23" s="350" t="e">
        <f t="shared" si="2"/>
        <v>#REF!</v>
      </c>
      <c r="L23" s="350" t="e">
        <f t="shared" si="2"/>
        <v>#REF!</v>
      </c>
      <c r="M23" s="351" t="e">
        <f t="shared" si="2"/>
        <v>#REF!</v>
      </c>
      <c r="N23" s="350" t="e">
        <f t="shared" si="2"/>
        <v>#REF!</v>
      </c>
      <c r="O23" s="350" t="e">
        <f t="shared" si="2"/>
        <v>#REF!</v>
      </c>
      <c r="P23" s="221"/>
      <c r="Q23" s="222"/>
      <c r="S23" s="221"/>
      <c r="T23" s="222"/>
    </row>
    <row r="24" spans="1:22" s="223" customFormat="1" ht="18" customHeight="1">
      <c r="A24" s="228"/>
      <c r="B24" s="1009" t="s">
        <v>217</v>
      </c>
      <c r="C24" s="1010"/>
      <c r="D24" s="352"/>
      <c r="E24" s="353"/>
      <c r="F24" s="353"/>
      <c r="G24" s="353"/>
      <c r="H24" s="353"/>
      <c r="I24" s="353"/>
      <c r="J24" s="358" t="e">
        <f t="shared" si="2"/>
        <v>#REF!</v>
      </c>
      <c r="K24" s="354" t="e">
        <f t="shared" si="2"/>
        <v>#REF!</v>
      </c>
      <c r="L24" s="354" t="e">
        <f t="shared" si="2"/>
        <v>#REF!</v>
      </c>
      <c r="M24" s="355" t="e">
        <f t="shared" si="2"/>
        <v>#REF!</v>
      </c>
      <c r="N24" s="354" t="e">
        <f t="shared" si="2"/>
        <v>#REF!</v>
      </c>
      <c r="O24" s="354" t="e">
        <f t="shared" si="2"/>
        <v>#REF!</v>
      </c>
      <c r="P24" s="221"/>
      <c r="Q24" s="222"/>
      <c r="S24" s="221"/>
      <c r="T24" s="222"/>
      <c r="V24" s="221"/>
    </row>
    <row r="25" spans="1:20" s="223" customFormat="1" ht="18" customHeight="1">
      <c r="A25" s="228"/>
      <c r="B25" s="1024" t="s">
        <v>219</v>
      </c>
      <c r="C25" s="1025"/>
      <c r="D25" s="353"/>
      <c r="E25" s="353"/>
      <c r="F25" s="353"/>
      <c r="G25" s="353"/>
      <c r="H25" s="353"/>
      <c r="I25" s="353"/>
      <c r="J25" s="354"/>
      <c r="K25" s="354"/>
      <c r="L25" s="354"/>
      <c r="M25" s="355"/>
      <c r="N25" s="354"/>
      <c r="O25" s="354"/>
      <c r="P25" s="221"/>
      <c r="Q25" s="222"/>
      <c r="S25" s="221"/>
      <c r="T25" s="222"/>
    </row>
    <row r="26" spans="1:22" ht="36" customHeight="1">
      <c r="A26" s="224"/>
      <c r="B26" s="233"/>
      <c r="C26" s="226" t="s">
        <v>225</v>
      </c>
      <c r="D26" s="234">
        <v>3035</v>
      </c>
      <c r="E26" s="227">
        <v>7953</v>
      </c>
      <c r="F26" s="227">
        <v>11962</v>
      </c>
      <c r="G26" s="227">
        <v>14763</v>
      </c>
      <c r="H26" s="227">
        <v>15659</v>
      </c>
      <c r="I26" s="227">
        <v>18359</v>
      </c>
      <c r="J26" s="237" t="e">
        <f>+K26+L26+M26+N26+O26</f>
        <v>#REF!</v>
      </c>
      <c r="K26" s="237" t="e">
        <f>+K$54*K27/100</f>
        <v>#REF!</v>
      </c>
      <c r="L26" s="237" t="e">
        <f>+L$54*L27/100</f>
        <v>#REF!</v>
      </c>
      <c r="M26" s="360" t="e">
        <f>+M$54*M27/100</f>
        <v>#REF!</v>
      </c>
      <c r="N26" s="237" t="e">
        <f>+N$54*N27/100</f>
        <v>#REF!</v>
      </c>
      <c r="O26" s="237" t="e">
        <f>+O$54*O27/100</f>
        <v>#REF!</v>
      </c>
      <c r="P26" s="219"/>
      <c r="Q26" s="218"/>
      <c r="R26" s="206">
        <v>58410</v>
      </c>
      <c r="S26" s="235" t="e">
        <f>+L28+L32</f>
        <v>#REF!</v>
      </c>
      <c r="T26" s="218"/>
      <c r="V26" s="219"/>
    </row>
    <row r="27" spans="1:15" s="223" customFormat="1" ht="18" customHeight="1">
      <c r="A27" s="228"/>
      <c r="B27" s="229"/>
      <c r="C27" s="230" t="s">
        <v>217</v>
      </c>
      <c r="D27" s="356"/>
      <c r="E27" s="356"/>
      <c r="F27" s="356"/>
      <c r="G27" s="356"/>
      <c r="H27" s="356"/>
      <c r="I27" s="356"/>
      <c r="J27" s="357" t="e">
        <f>100*J26/J$54</f>
        <v>#REF!</v>
      </c>
      <c r="K27" s="357">
        <v>4.2</v>
      </c>
      <c r="L27" s="357">
        <v>4.2</v>
      </c>
      <c r="M27" s="357">
        <v>4.2</v>
      </c>
      <c r="N27" s="357">
        <v>4.2</v>
      </c>
      <c r="O27" s="357">
        <v>4.2</v>
      </c>
    </row>
    <row r="28" spans="1:19" ht="18" customHeight="1">
      <c r="A28" s="224"/>
      <c r="B28" s="225"/>
      <c r="C28" s="226" t="s">
        <v>226</v>
      </c>
      <c r="D28" s="227">
        <v>19913</v>
      </c>
      <c r="E28" s="227">
        <v>26999.1</v>
      </c>
      <c r="F28" s="227">
        <v>32398</v>
      </c>
      <c r="G28" s="227">
        <v>38226</v>
      </c>
      <c r="H28" s="227">
        <v>39381</v>
      </c>
      <c r="I28" s="227">
        <v>48252</v>
      </c>
      <c r="J28" s="237" t="e">
        <f>+K28+L28+M28+N28+O28</f>
        <v>#REF!</v>
      </c>
      <c r="K28" s="237" t="e">
        <f>+K$54*K29/100</f>
        <v>#REF!</v>
      </c>
      <c r="L28" s="237" t="e">
        <f>+L$54*L29/100</f>
        <v>#REF!</v>
      </c>
      <c r="M28" s="237" t="e">
        <f>+M$54*M29/100</f>
        <v>#REF!</v>
      </c>
      <c r="N28" s="237" t="e">
        <f>+N$54*N29/100</f>
        <v>#REF!</v>
      </c>
      <c r="O28" s="237" t="e">
        <f>+O$54*O29/100</f>
        <v>#REF!</v>
      </c>
      <c r="S28" s="206" t="e">
        <f>+L28/S26</f>
        <v>#REF!</v>
      </c>
    </row>
    <row r="29" spans="1:15" s="223" customFormat="1" ht="18" customHeight="1">
      <c r="A29" s="228"/>
      <c r="B29" s="229"/>
      <c r="C29" s="230" t="s">
        <v>217</v>
      </c>
      <c r="D29" s="356"/>
      <c r="E29" s="356"/>
      <c r="F29" s="356"/>
      <c r="G29" s="356"/>
      <c r="H29" s="356"/>
      <c r="I29" s="356"/>
      <c r="J29" s="357" t="e">
        <f>100*J28/J$54</f>
        <v>#REF!</v>
      </c>
      <c r="K29" s="357">
        <v>12.3</v>
      </c>
      <c r="L29" s="357">
        <v>12.6</v>
      </c>
      <c r="M29" s="357">
        <v>12.9</v>
      </c>
      <c r="N29" s="357">
        <v>13.2</v>
      </c>
      <c r="O29" s="357">
        <v>13.5</v>
      </c>
    </row>
    <row r="30" spans="1:19" ht="18" customHeight="1">
      <c r="A30" s="224"/>
      <c r="B30" s="225"/>
      <c r="C30" s="226" t="s">
        <v>227</v>
      </c>
      <c r="D30" s="227">
        <v>4453</v>
      </c>
      <c r="E30" s="227">
        <v>2974.7</v>
      </c>
      <c r="F30" s="227">
        <v>3847</v>
      </c>
      <c r="G30" s="227">
        <v>4230</v>
      </c>
      <c r="H30" s="227">
        <v>5549</v>
      </c>
      <c r="I30" s="227">
        <v>6628</v>
      </c>
      <c r="J30" s="237" t="e">
        <f>+K30+L30+M30+N30+O30</f>
        <v>#REF!</v>
      </c>
      <c r="K30" s="237" t="e">
        <f>+K$54*K31/100</f>
        <v>#REF!</v>
      </c>
      <c r="L30" s="237" t="e">
        <f>+L$54*L31/100</f>
        <v>#REF!</v>
      </c>
      <c r="M30" s="237" t="e">
        <f>+M$54*M31/100</f>
        <v>#REF!</v>
      </c>
      <c r="N30" s="237" t="e">
        <f>+N$54*N31/100</f>
        <v>#REF!</v>
      </c>
      <c r="O30" s="237" t="e">
        <f>+O$54*O31/100</f>
        <v>#REF!</v>
      </c>
      <c r="S30" s="206" t="e">
        <f>+L32/S26</f>
        <v>#REF!</v>
      </c>
    </row>
    <row r="31" spans="1:15" s="223" customFormat="1" ht="18" customHeight="1">
      <c r="A31" s="228"/>
      <c r="B31" s="229"/>
      <c r="C31" s="230" t="s">
        <v>217</v>
      </c>
      <c r="D31" s="356"/>
      <c r="E31" s="356"/>
      <c r="F31" s="356"/>
      <c r="G31" s="356"/>
      <c r="H31" s="356"/>
      <c r="I31" s="356"/>
      <c r="J31" s="357" t="e">
        <f>100*J30/J$54</f>
        <v>#REF!</v>
      </c>
      <c r="K31" s="357">
        <v>2.1</v>
      </c>
      <c r="L31" s="357">
        <v>2.1</v>
      </c>
      <c r="M31" s="357">
        <v>2.1</v>
      </c>
      <c r="N31" s="357">
        <v>2.1</v>
      </c>
      <c r="O31" s="357">
        <v>2.1</v>
      </c>
    </row>
    <row r="32" spans="1:19" ht="18" customHeight="1">
      <c r="A32" s="224"/>
      <c r="B32" s="225"/>
      <c r="C32" s="226" t="s">
        <v>228</v>
      </c>
      <c r="D32" s="227"/>
      <c r="E32" s="227"/>
      <c r="F32" s="227"/>
      <c r="G32" s="227"/>
      <c r="H32" s="227"/>
      <c r="I32" s="227"/>
      <c r="J32" s="237" t="e">
        <f>+K32+L32+M32+N32+O32</f>
        <v>#REF!</v>
      </c>
      <c r="K32" s="237" t="e">
        <f>+K$54*K33/100</f>
        <v>#REF!</v>
      </c>
      <c r="L32" s="237" t="e">
        <f>+L$54*L33/100</f>
        <v>#REF!</v>
      </c>
      <c r="M32" s="237" t="e">
        <f>+M$54*M33/100</f>
        <v>#REF!</v>
      </c>
      <c r="N32" s="237" t="e">
        <f>+N$54*N33/100</f>
        <v>#REF!</v>
      </c>
      <c r="O32" s="237" t="e">
        <f>+O$54*O33/100</f>
        <v>#REF!</v>
      </c>
      <c r="S32" s="231"/>
    </row>
    <row r="33" spans="1:15" s="223" customFormat="1" ht="18" customHeight="1">
      <c r="A33" s="228"/>
      <c r="B33" s="229"/>
      <c r="C33" s="230" t="s">
        <v>217</v>
      </c>
      <c r="D33" s="356"/>
      <c r="E33" s="356"/>
      <c r="F33" s="356"/>
      <c r="G33" s="356"/>
      <c r="H33" s="356"/>
      <c r="I33" s="356"/>
      <c r="J33" s="357" t="e">
        <f>100*J32/J$54</f>
        <v>#REF!</v>
      </c>
      <c r="K33" s="357">
        <v>3.6</v>
      </c>
      <c r="L33" s="357">
        <v>3.6</v>
      </c>
      <c r="M33" s="357">
        <v>3.6</v>
      </c>
      <c r="N33" s="357">
        <v>3.6</v>
      </c>
      <c r="O33" s="357">
        <v>3.6</v>
      </c>
    </row>
    <row r="34" spans="1:15" ht="28.5" customHeight="1">
      <c r="A34" s="224"/>
      <c r="B34" s="225"/>
      <c r="C34" s="226" t="s">
        <v>229</v>
      </c>
      <c r="D34" s="227">
        <v>1303</v>
      </c>
      <c r="E34" s="227">
        <v>2017.6</v>
      </c>
      <c r="F34" s="227">
        <v>1120</v>
      </c>
      <c r="G34" s="227">
        <v>1983</v>
      </c>
      <c r="H34" s="227">
        <v>1800</v>
      </c>
      <c r="I34" s="227">
        <v>2174</v>
      </c>
      <c r="J34" s="237" t="e">
        <f>+K34+L34+M34+N34+O34</f>
        <v>#REF!</v>
      </c>
      <c r="K34" s="237" t="e">
        <f>+K$54*K35/100</f>
        <v>#REF!</v>
      </c>
      <c r="L34" s="237" t="e">
        <f>+L$54*L35/100</f>
        <v>#REF!</v>
      </c>
      <c r="M34" s="237" t="e">
        <f>+M$54*M35/100</f>
        <v>#REF!</v>
      </c>
      <c r="N34" s="237" t="e">
        <f>+N$54*N35/100</f>
        <v>#REF!</v>
      </c>
      <c r="O34" s="237" t="e">
        <f>+O$54*O35/100</f>
        <v>#REF!</v>
      </c>
    </row>
    <row r="35" spans="1:15" s="223" customFormat="1" ht="18" customHeight="1">
      <c r="A35" s="228"/>
      <c r="B35" s="229"/>
      <c r="C35" s="230" t="s">
        <v>217</v>
      </c>
      <c r="D35" s="356"/>
      <c r="E35" s="356"/>
      <c r="F35" s="356"/>
      <c r="G35" s="356"/>
      <c r="H35" s="356"/>
      <c r="I35" s="356"/>
      <c r="J35" s="357" t="e">
        <f>100*J34/J$54</f>
        <v>#REF!</v>
      </c>
      <c r="K35" s="357">
        <v>1.5</v>
      </c>
      <c r="L35" s="357">
        <v>1.5</v>
      </c>
      <c r="M35" s="357">
        <v>1.5</v>
      </c>
      <c r="N35" s="357">
        <v>1.5</v>
      </c>
      <c r="O35" s="357">
        <v>1.5</v>
      </c>
    </row>
    <row r="36" spans="1:15" ht="18" customHeight="1">
      <c r="A36" s="224"/>
      <c r="B36" s="225"/>
      <c r="C36" s="226" t="s">
        <v>230</v>
      </c>
      <c r="D36" s="227">
        <v>4031</v>
      </c>
      <c r="E36" s="227">
        <v>1734.6</v>
      </c>
      <c r="F36" s="227">
        <v>2612</v>
      </c>
      <c r="G36" s="227">
        <v>3605</v>
      </c>
      <c r="H36" s="227">
        <v>5025</v>
      </c>
      <c r="I36" s="227">
        <v>5705</v>
      </c>
      <c r="J36" s="237" t="e">
        <f>+K36+L36+M36+N36+O36</f>
        <v>#REF!</v>
      </c>
      <c r="K36" s="237" t="e">
        <f>+K$54*K37/100</f>
        <v>#REF!</v>
      </c>
      <c r="L36" s="237" t="e">
        <f>+L$54*L37/100</f>
        <v>#REF!</v>
      </c>
      <c r="M36" s="237" t="e">
        <f>+M$54*M37/100</f>
        <v>#REF!</v>
      </c>
      <c r="N36" s="237" t="e">
        <f>+N$54*N37/100</f>
        <v>#REF!</v>
      </c>
      <c r="O36" s="237" t="e">
        <f>+O$54*O37/100</f>
        <v>#REF!</v>
      </c>
    </row>
    <row r="37" spans="1:15" s="223" customFormat="1" ht="18" customHeight="1">
      <c r="A37" s="228"/>
      <c r="B37" s="229"/>
      <c r="C37" s="230" t="s">
        <v>217</v>
      </c>
      <c r="D37" s="356"/>
      <c r="E37" s="356"/>
      <c r="F37" s="356"/>
      <c r="G37" s="356"/>
      <c r="H37" s="356"/>
      <c r="I37" s="356"/>
      <c r="J37" s="357" t="e">
        <f>100*J36/J$54</f>
        <v>#REF!</v>
      </c>
      <c r="K37" s="357">
        <v>4.6</v>
      </c>
      <c r="L37" s="357">
        <v>4.5</v>
      </c>
      <c r="M37" s="357">
        <v>4.4</v>
      </c>
      <c r="N37" s="357">
        <v>4.3</v>
      </c>
      <c r="O37" s="357">
        <v>4.2</v>
      </c>
    </row>
    <row r="38" spans="1:19" ht="36.75" customHeight="1">
      <c r="A38" s="224"/>
      <c r="B38" s="225"/>
      <c r="C38" s="226" t="s">
        <v>231</v>
      </c>
      <c r="D38" s="227">
        <v>1883</v>
      </c>
      <c r="E38" s="227">
        <v>1935.5</v>
      </c>
      <c r="F38" s="227">
        <v>695</v>
      </c>
      <c r="G38" s="227"/>
      <c r="H38" s="227">
        <v>1351</v>
      </c>
      <c r="I38" s="227">
        <v>1486</v>
      </c>
      <c r="J38" s="237" t="e">
        <f>+K38+L38+M38+N38+O38</f>
        <v>#REF!</v>
      </c>
      <c r="K38" s="237" t="e">
        <f>+K$54*K39/100</f>
        <v>#REF!</v>
      </c>
      <c r="L38" s="237" t="e">
        <f>+L$54*L39/100</f>
        <v>#REF!</v>
      </c>
      <c r="M38" s="237" t="e">
        <f>+M$54*M39/100</f>
        <v>#REF!</v>
      </c>
      <c r="N38" s="237" t="e">
        <f>+N$54*N39/100</f>
        <v>#REF!</v>
      </c>
      <c r="O38" s="237" t="e">
        <f>+O$54*O39/100</f>
        <v>#REF!</v>
      </c>
      <c r="R38" s="206">
        <f>1456+65373+11914</f>
        <v>78743</v>
      </c>
      <c r="S38" s="231" t="e">
        <f>+L40+L42+L50</f>
        <v>#REF!</v>
      </c>
    </row>
    <row r="39" spans="1:22" s="223" customFormat="1" ht="18" customHeight="1">
      <c r="A39" s="228"/>
      <c r="B39" s="232"/>
      <c r="C39" s="230" t="s">
        <v>217</v>
      </c>
      <c r="D39" s="361"/>
      <c r="E39" s="356"/>
      <c r="F39" s="356"/>
      <c r="G39" s="356"/>
      <c r="H39" s="356"/>
      <c r="I39" s="356"/>
      <c r="J39" s="357" t="e">
        <f>100*J38/J$54</f>
        <v>#REF!</v>
      </c>
      <c r="K39" s="357">
        <v>1.1</v>
      </c>
      <c r="L39" s="357">
        <v>1.1</v>
      </c>
      <c r="M39" s="362">
        <v>1.1</v>
      </c>
      <c r="N39" s="357">
        <v>1.1</v>
      </c>
      <c r="O39" s="357">
        <v>1.1</v>
      </c>
      <c r="P39" s="221"/>
      <c r="Q39" s="222"/>
      <c r="S39" s="221"/>
      <c r="T39" s="222"/>
      <c r="V39" s="221"/>
    </row>
    <row r="40" spans="1:19" ht="18" customHeight="1">
      <c r="A40" s="224"/>
      <c r="B40" s="225"/>
      <c r="C40" s="226" t="s">
        <v>232</v>
      </c>
      <c r="D40" s="227">
        <v>3914</v>
      </c>
      <c r="E40" s="227">
        <v>3854</v>
      </c>
      <c r="F40" s="227">
        <v>3072</v>
      </c>
      <c r="G40" s="227">
        <v>4452</v>
      </c>
      <c r="H40" s="227">
        <v>8260</v>
      </c>
      <c r="I40" s="227">
        <v>9727</v>
      </c>
      <c r="J40" s="237" t="e">
        <f>+K40+L40+M40+N40+O40</f>
        <v>#REF!</v>
      </c>
      <c r="K40" s="237" t="e">
        <f>+K$54*K41/100</f>
        <v>#REF!</v>
      </c>
      <c r="L40" s="237" t="e">
        <f>+L$54*L41/100</f>
        <v>#REF!</v>
      </c>
      <c r="M40" s="237" t="e">
        <f>+M$54*M41/100</f>
        <v>#REF!</v>
      </c>
      <c r="N40" s="237" t="e">
        <f>+N$54*N41/100</f>
        <v>#REF!</v>
      </c>
      <c r="O40" s="237" t="e">
        <f>+O$54*O41/100</f>
        <v>#REF!</v>
      </c>
      <c r="S40" s="206" t="e">
        <f>+L40/S38</f>
        <v>#REF!</v>
      </c>
    </row>
    <row r="41" spans="1:15" s="223" customFormat="1" ht="18" customHeight="1">
      <c r="A41" s="228"/>
      <c r="B41" s="229"/>
      <c r="C41" s="230" t="s">
        <v>217</v>
      </c>
      <c r="D41" s="356"/>
      <c r="E41" s="356"/>
      <c r="F41" s="356"/>
      <c r="G41" s="356"/>
      <c r="H41" s="356"/>
      <c r="I41" s="356"/>
      <c r="J41" s="357" t="e">
        <f>100*J40/J$54</f>
        <v>#REF!</v>
      </c>
      <c r="K41" s="357">
        <v>3.4</v>
      </c>
      <c r="L41" s="357">
        <v>3.4</v>
      </c>
      <c r="M41" s="357">
        <v>3.4</v>
      </c>
      <c r="N41" s="357">
        <v>3.4</v>
      </c>
      <c r="O41" s="357">
        <v>3.4</v>
      </c>
    </row>
    <row r="42" spans="1:19" ht="55.5" customHeight="1" hidden="1">
      <c r="A42" s="224"/>
      <c r="B42" s="225"/>
      <c r="C42" s="226" t="s">
        <v>233</v>
      </c>
      <c r="D42" s="227">
        <v>793</v>
      </c>
      <c r="E42" s="227">
        <v>342</v>
      </c>
      <c r="F42" s="227">
        <v>818</v>
      </c>
      <c r="G42" s="227">
        <v>892</v>
      </c>
      <c r="H42" s="227">
        <v>1015</v>
      </c>
      <c r="I42" s="227">
        <v>1217</v>
      </c>
      <c r="J42" s="237"/>
      <c r="K42" s="237"/>
      <c r="L42" s="237"/>
      <c r="M42" s="237"/>
      <c r="N42" s="237"/>
      <c r="O42" s="237"/>
      <c r="S42" s="206" t="e">
        <f>+L42/S38</f>
        <v>#REF!</v>
      </c>
    </row>
    <row r="43" spans="1:15" s="223" customFormat="1" ht="18" customHeight="1" hidden="1">
      <c r="A43" s="228"/>
      <c r="B43" s="229"/>
      <c r="C43" s="230" t="s">
        <v>217</v>
      </c>
      <c r="D43" s="356"/>
      <c r="E43" s="356"/>
      <c r="F43" s="356"/>
      <c r="G43" s="356"/>
      <c r="H43" s="356"/>
      <c r="I43" s="356"/>
      <c r="J43" s="357"/>
      <c r="K43" s="357"/>
      <c r="L43" s="357"/>
      <c r="M43" s="357"/>
      <c r="N43" s="357"/>
      <c r="O43" s="357"/>
    </row>
    <row r="44" spans="1:19" ht="18" customHeight="1">
      <c r="A44" s="224"/>
      <c r="B44" s="225"/>
      <c r="C44" s="226" t="s">
        <v>234</v>
      </c>
      <c r="D44" s="227">
        <v>6084</v>
      </c>
      <c r="E44" s="227">
        <v>6225.3</v>
      </c>
      <c r="F44" s="227">
        <v>5882</v>
      </c>
      <c r="G44" s="227">
        <v>7118</v>
      </c>
      <c r="H44" s="227">
        <v>8614</v>
      </c>
      <c r="I44" s="227">
        <v>10097</v>
      </c>
      <c r="J44" s="237" t="e">
        <f>+K44+L44+M44+N44+O44</f>
        <v>#REF!</v>
      </c>
      <c r="K44" s="237" t="e">
        <f>+K$54*K45/100</f>
        <v>#REF!</v>
      </c>
      <c r="L44" s="237" t="e">
        <f>+L$54*L45/100</f>
        <v>#REF!</v>
      </c>
      <c r="M44" s="237" t="e">
        <f>+M$54*M45/100</f>
        <v>#REF!</v>
      </c>
      <c r="N44" s="237" t="e">
        <f>+N$54*N45/100</f>
        <v>#REF!</v>
      </c>
      <c r="O44" s="237" t="e">
        <f>+O$54*O45/100</f>
        <v>#REF!</v>
      </c>
      <c r="S44" s="206" t="e">
        <f>+L50/S38</f>
        <v>#REF!</v>
      </c>
    </row>
    <row r="45" spans="1:15" s="223" customFormat="1" ht="18" customHeight="1">
      <c r="A45" s="228"/>
      <c r="B45" s="229"/>
      <c r="C45" s="230" t="s">
        <v>217</v>
      </c>
      <c r="D45" s="356"/>
      <c r="E45" s="356"/>
      <c r="F45" s="356"/>
      <c r="G45" s="356"/>
      <c r="H45" s="356"/>
      <c r="I45" s="356"/>
      <c r="J45" s="357" t="e">
        <f>100*J44/J$54</f>
        <v>#REF!</v>
      </c>
      <c r="K45" s="357">
        <v>2.9</v>
      </c>
      <c r="L45" s="357">
        <v>3</v>
      </c>
      <c r="M45" s="357">
        <v>3.1</v>
      </c>
      <c r="N45" s="357">
        <v>3.2</v>
      </c>
      <c r="O45" s="357">
        <v>3.3</v>
      </c>
    </row>
    <row r="46" spans="1:15" ht="18" customHeight="1">
      <c r="A46" s="224"/>
      <c r="B46" s="225"/>
      <c r="C46" s="226" t="s">
        <v>235</v>
      </c>
      <c r="D46" s="227">
        <v>2323</v>
      </c>
      <c r="E46" s="227">
        <v>2770.1</v>
      </c>
      <c r="F46" s="227">
        <v>3207</v>
      </c>
      <c r="G46" s="227">
        <v>4370</v>
      </c>
      <c r="H46" s="227">
        <v>5665</v>
      </c>
      <c r="I46" s="227">
        <v>5775</v>
      </c>
      <c r="J46" s="237" t="e">
        <f>+K46+L46+M46+N46+O46</f>
        <v>#REF!</v>
      </c>
      <c r="K46" s="237" t="e">
        <f>+K$54*K47/100</f>
        <v>#REF!</v>
      </c>
      <c r="L46" s="237" t="e">
        <f>+L$54*L47/100</f>
        <v>#REF!</v>
      </c>
      <c r="M46" s="237" t="e">
        <f>+M$54*M47/100</f>
        <v>#REF!</v>
      </c>
      <c r="N46" s="237" t="e">
        <f>+N$54*N47/100</f>
        <v>#REF!</v>
      </c>
      <c r="O46" s="237" t="e">
        <f>+O$54*O47/100</f>
        <v>#REF!</v>
      </c>
    </row>
    <row r="47" spans="1:15" s="223" customFormat="1" ht="18" customHeight="1">
      <c r="A47" s="228"/>
      <c r="B47" s="229"/>
      <c r="C47" s="230" t="s">
        <v>217</v>
      </c>
      <c r="D47" s="356"/>
      <c r="E47" s="356"/>
      <c r="F47" s="356"/>
      <c r="G47" s="356"/>
      <c r="H47" s="356"/>
      <c r="I47" s="356"/>
      <c r="J47" s="357" t="e">
        <f>100*J46/J$54</f>
        <v>#REF!</v>
      </c>
      <c r="K47" s="357">
        <v>1.5</v>
      </c>
      <c r="L47" s="357">
        <v>1.6</v>
      </c>
      <c r="M47" s="357">
        <v>1.7</v>
      </c>
      <c r="N47" s="357">
        <v>1.8</v>
      </c>
      <c r="O47" s="357">
        <v>1.9</v>
      </c>
    </row>
    <row r="48" spans="1:15" ht="18" customHeight="1" hidden="1">
      <c r="A48" s="224"/>
      <c r="B48" s="225"/>
      <c r="C48" s="226" t="s">
        <v>236</v>
      </c>
      <c r="D48" s="227">
        <v>2812</v>
      </c>
      <c r="E48" s="227">
        <v>2228.4</v>
      </c>
      <c r="F48" s="227">
        <v>3029</v>
      </c>
      <c r="G48" s="227">
        <v>4288</v>
      </c>
      <c r="H48" s="227">
        <v>4583</v>
      </c>
      <c r="I48" s="227">
        <v>4893</v>
      </c>
      <c r="J48" s="237"/>
      <c r="K48" s="237"/>
      <c r="L48" s="237"/>
      <c r="M48" s="237"/>
      <c r="N48" s="237"/>
      <c r="O48" s="237"/>
    </row>
    <row r="49" spans="1:15" s="223" customFormat="1" ht="18" customHeight="1" hidden="1">
      <c r="A49" s="228"/>
      <c r="B49" s="236"/>
      <c r="C49" s="230" t="s">
        <v>217</v>
      </c>
      <c r="D49" s="356"/>
      <c r="E49" s="356"/>
      <c r="F49" s="356"/>
      <c r="G49" s="356"/>
      <c r="H49" s="356"/>
      <c r="I49" s="356"/>
      <c r="J49" s="357"/>
      <c r="K49" s="357"/>
      <c r="L49" s="357"/>
      <c r="M49" s="357"/>
      <c r="N49" s="357"/>
      <c r="O49" s="357"/>
    </row>
    <row r="50" spans="1:15" ht="18" customHeight="1">
      <c r="A50" s="225"/>
      <c r="B50" s="229"/>
      <c r="C50" s="226" t="s">
        <v>237</v>
      </c>
      <c r="D50" s="227">
        <v>20400</v>
      </c>
      <c r="E50" s="227">
        <v>23070.9</v>
      </c>
      <c r="F50" s="227">
        <v>29230</v>
      </c>
      <c r="G50" s="227">
        <v>35151</v>
      </c>
      <c r="H50" s="227">
        <v>46690</v>
      </c>
      <c r="I50" s="227">
        <v>56969</v>
      </c>
      <c r="J50" s="237" t="e">
        <f>+K50+L50+M50+N50+O50</f>
        <v>#REF!</v>
      </c>
      <c r="K50" s="237" t="e">
        <f>+K54-K8-K13-K15-K17-K19-K21-K26-K28-K30-K32-K34-K36-K38-K40-K42-K44-K46-K48</f>
        <v>#REF!</v>
      </c>
      <c r="L50" s="237" t="e">
        <f>+L54-L8-L13-L15-L17-L19-L21-L26-L28-L30-L32-L34-L36-L38-L40-L42-L44-L46-L48</f>
        <v>#REF!</v>
      </c>
      <c r="M50" s="237" t="e">
        <f>+M54-M8-M13-M15-M17-M19-M21-M26-M28-M30-M32-M34-M36-M38-M40-M42-M44-M46-M48</f>
        <v>#REF!</v>
      </c>
      <c r="N50" s="237" t="e">
        <f>+N54-N8-N13-N15-N17-N19-N21-N26-N28-N30-N32-N34-N36-N38-N40-N42-N44-N46-N48</f>
        <v>#REF!</v>
      </c>
      <c r="O50" s="237" t="e">
        <f>+O54-O8-O13-O15-O17-O19-O21-O26-O28-O30-O32-O34-O36-O38-O40-O42-O44-O46-O48</f>
        <v>#REF!</v>
      </c>
    </row>
    <row r="51" spans="1:15" s="223" customFormat="1" ht="18" customHeight="1">
      <c r="A51" s="229"/>
      <c r="B51" s="229"/>
      <c r="C51" s="230" t="s">
        <v>217</v>
      </c>
      <c r="D51" s="356"/>
      <c r="E51" s="356"/>
      <c r="F51" s="356"/>
      <c r="G51" s="356"/>
      <c r="H51" s="356"/>
      <c r="I51" s="356"/>
      <c r="J51" s="357" t="e">
        <f aca="true" t="shared" si="3" ref="J51:O51">100*J50/J$54</f>
        <v>#REF!</v>
      </c>
      <c r="K51" s="357" t="e">
        <f t="shared" si="3"/>
        <v>#REF!</v>
      </c>
      <c r="L51" s="357" t="e">
        <f t="shared" si="3"/>
        <v>#REF!</v>
      </c>
      <c r="M51" s="357" t="e">
        <f t="shared" si="3"/>
        <v>#REF!</v>
      </c>
      <c r="N51" s="357" t="e">
        <f t="shared" si="3"/>
        <v>#REF!</v>
      </c>
      <c r="O51" s="357" t="e">
        <f t="shared" si="3"/>
        <v>#REF!</v>
      </c>
    </row>
    <row r="52" spans="1:15" ht="15" customHeight="1">
      <c r="A52" s="238"/>
      <c r="B52" s="239"/>
      <c r="C52" s="240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</row>
    <row r="53" spans="3:14" ht="15" customHeight="1">
      <c r="C53" s="243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</row>
    <row r="54" spans="1:15" ht="30" customHeight="1">
      <c r="A54" s="216"/>
      <c r="B54" s="1020" t="s">
        <v>174</v>
      </c>
      <c r="C54" s="1021"/>
      <c r="D54" s="345">
        <v>151183</v>
      </c>
      <c r="E54" s="345">
        <v>170496</v>
      </c>
      <c r="F54" s="345">
        <v>200145</v>
      </c>
      <c r="G54" s="345">
        <v>239246</v>
      </c>
      <c r="H54" s="345">
        <v>290927</v>
      </c>
      <c r="I54" s="345">
        <v>343135</v>
      </c>
      <c r="J54" s="343" t="e">
        <f>+K54+L54+M54+N54+O54</f>
        <v>#REF!</v>
      </c>
      <c r="K54" s="343" t="e">
        <f>#REF!*1000</f>
        <v>#REF!</v>
      </c>
      <c r="L54" s="343" t="e">
        <f>#REF!*1000</f>
        <v>#REF!</v>
      </c>
      <c r="M54" s="343" t="e">
        <f>#REF!*1000</f>
        <v>#REF!</v>
      </c>
      <c r="N54" s="343" t="e">
        <f>#REF!*1000</f>
        <v>#REF!</v>
      </c>
      <c r="O54" s="343" t="e">
        <f>#REF!*1000</f>
        <v>#REF!</v>
      </c>
    </row>
  </sheetData>
  <sheetProtection/>
  <mergeCells count="16">
    <mergeCell ref="B11:C11"/>
    <mergeCell ref="B12:C12"/>
    <mergeCell ref="B5:C5"/>
    <mergeCell ref="B54:C54"/>
    <mergeCell ref="B6:C6"/>
    <mergeCell ref="B23:C23"/>
    <mergeCell ref="B24:C24"/>
    <mergeCell ref="B25:C25"/>
    <mergeCell ref="B7:C7"/>
    <mergeCell ref="B8:C8"/>
    <mergeCell ref="B9:C9"/>
    <mergeCell ref="B10:C10"/>
    <mergeCell ref="A1:O1"/>
    <mergeCell ref="A2:O2"/>
    <mergeCell ref="A3:O3"/>
    <mergeCell ref="M4:O4"/>
  </mergeCells>
  <printOptions horizontalCentered="1"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95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65"/>
  <sheetViews>
    <sheetView zoomScalePageLayoutView="0" workbookViewId="0" topLeftCell="A1">
      <pane xSplit="2" ySplit="20" topLeftCell="C21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C40" sqref="C40"/>
    </sheetView>
  </sheetViews>
  <sheetFormatPr defaultColWidth="9.140625" defaultRowHeight="12.75"/>
  <cols>
    <col min="1" max="1" width="4.421875" style="335" customWidth="1"/>
    <col min="2" max="2" width="36.57421875" style="252" customWidth="1"/>
    <col min="3" max="3" width="14.8515625" style="251" customWidth="1"/>
    <col min="4" max="4" width="14.8515625" style="252" customWidth="1"/>
    <col min="5" max="7" width="14.8515625" style="253" customWidth="1"/>
    <col min="8" max="8" width="14.8515625" style="336" customWidth="1"/>
    <col min="9" max="9" width="13.8515625" style="254" hidden="1" customWidth="1"/>
    <col min="10" max="10" width="12.140625" style="254" customWidth="1"/>
    <col min="11" max="12" width="9.140625" style="245" customWidth="1"/>
    <col min="13" max="13" width="10.140625" style="245" bestFit="1" customWidth="1"/>
    <col min="14" max="16384" width="9.140625" style="245" customWidth="1"/>
  </cols>
  <sheetData>
    <row r="1" spans="1:14" s="206" customFormat="1" ht="30.75" customHeight="1">
      <c r="A1" s="1013" t="s">
        <v>280</v>
      </c>
      <c r="B1" s="1013"/>
      <c r="C1" s="1013"/>
      <c r="D1" s="1013"/>
      <c r="E1" s="1013"/>
      <c r="F1" s="1013"/>
      <c r="G1" s="1013"/>
      <c r="H1" s="1013"/>
      <c r="I1" s="205"/>
      <c r="J1" s="205"/>
      <c r="K1" s="205"/>
      <c r="L1" s="205"/>
      <c r="M1" s="205"/>
      <c r="N1" s="205"/>
    </row>
    <row r="2" spans="1:10" ht="45" customHeight="1">
      <c r="A2" s="1028" t="s">
        <v>286</v>
      </c>
      <c r="B2" s="1029"/>
      <c r="C2" s="1029"/>
      <c r="D2" s="1029"/>
      <c r="E2" s="1029"/>
      <c r="F2" s="1029"/>
      <c r="G2" s="1029"/>
      <c r="H2" s="1029"/>
      <c r="I2" s="1029"/>
      <c r="J2" s="244"/>
    </row>
    <row r="3" spans="1:10" ht="12.75" customHeight="1">
      <c r="A3" s="246"/>
      <c r="B3" s="244"/>
      <c r="C3" s="247"/>
      <c r="D3" s="244"/>
      <c r="E3" s="244"/>
      <c r="F3" s="244"/>
      <c r="G3" s="244"/>
      <c r="H3" s="244"/>
      <c r="I3" s="248"/>
      <c r="J3" s="248"/>
    </row>
    <row r="4" spans="1:9" ht="27.75" customHeight="1">
      <c r="A4" s="249"/>
      <c r="B4" s="250"/>
      <c r="F4" s="1030" t="s">
        <v>285</v>
      </c>
      <c r="G4" s="1030"/>
      <c r="H4" s="1030"/>
      <c r="I4" s="1031"/>
    </row>
    <row r="5" spans="1:10" s="262" customFormat="1" ht="39.75" customHeight="1">
      <c r="A5" s="255"/>
      <c r="B5" s="256" t="s">
        <v>277</v>
      </c>
      <c r="C5" s="257" t="s">
        <v>276</v>
      </c>
      <c r="D5" s="258">
        <v>2011</v>
      </c>
      <c r="E5" s="259">
        <v>2012</v>
      </c>
      <c r="F5" s="259">
        <v>2013</v>
      </c>
      <c r="G5" s="259">
        <v>2014</v>
      </c>
      <c r="H5" s="259">
        <v>2015</v>
      </c>
      <c r="I5" s="260">
        <v>2011</v>
      </c>
      <c r="J5" s="261"/>
    </row>
    <row r="6" spans="1:12" s="270" customFormat="1" ht="52.5" customHeight="1" hidden="1">
      <c r="A6" s="263"/>
      <c r="B6" s="264" t="s">
        <v>215</v>
      </c>
      <c r="C6" s="265"/>
      <c r="D6" s="266"/>
      <c r="E6" s="266"/>
      <c r="F6" s="266"/>
      <c r="G6" s="266"/>
      <c r="H6" s="267"/>
      <c r="I6" s="268">
        <f>'[4]cc2011'!H5</f>
        <v>152000.05204045697</v>
      </c>
      <c r="J6" s="269"/>
      <c r="L6" s="271"/>
    </row>
    <row r="7" spans="1:22" s="281" customFormat="1" ht="46.5" customHeight="1" hidden="1">
      <c r="A7" s="272" t="s">
        <v>3</v>
      </c>
      <c r="B7" s="273" t="s">
        <v>274</v>
      </c>
      <c r="C7" s="274"/>
      <c r="D7" s="275"/>
      <c r="E7" s="276"/>
      <c r="F7" s="276"/>
      <c r="G7" s="276"/>
      <c r="H7" s="277"/>
      <c r="I7" s="278">
        <f>'[4]cc2011'!H6</f>
        <v>10080</v>
      </c>
      <c r="J7" s="279"/>
      <c r="K7" s="280"/>
      <c r="M7" s="282"/>
      <c r="N7" s="280"/>
      <c r="P7" s="282"/>
      <c r="Q7" s="280"/>
      <c r="S7" s="282"/>
      <c r="T7" s="280"/>
      <c r="V7" s="282"/>
    </row>
    <row r="8" spans="1:22" ht="47.25" hidden="1">
      <c r="A8" s="283"/>
      <c r="B8" s="284" t="s">
        <v>273</v>
      </c>
      <c r="C8" s="285"/>
      <c r="D8" s="286">
        <f>+'[4]cc2006'!C7+'[4]cc2006'!C8</f>
        <v>120</v>
      </c>
      <c r="E8" s="287">
        <f>+'[4]cc2007'!C8</f>
        <v>220</v>
      </c>
      <c r="F8" s="287">
        <f>+'[4]cc2008'!C8</f>
        <v>200</v>
      </c>
      <c r="G8" s="288">
        <f>+'[4]cc2009'!C8</f>
        <v>200</v>
      </c>
      <c r="H8" s="288">
        <f>+'[4]cc2010'!H8</f>
        <v>200</v>
      </c>
      <c r="I8" s="289">
        <f>'[4]cc2011'!H7</f>
        <v>180</v>
      </c>
      <c r="J8" s="290"/>
      <c r="K8" s="291"/>
      <c r="M8" s="292"/>
      <c r="N8" s="291"/>
      <c r="P8" s="292"/>
      <c r="Q8" s="291"/>
      <c r="S8" s="292"/>
      <c r="T8" s="291"/>
      <c r="V8" s="292"/>
    </row>
    <row r="9" spans="1:22" ht="47.25" hidden="1">
      <c r="A9" s="283"/>
      <c r="B9" s="284" t="s">
        <v>272</v>
      </c>
      <c r="C9" s="285"/>
      <c r="D9" s="286">
        <f>+'[4]cc2006'!C9</f>
        <v>300</v>
      </c>
      <c r="E9" s="287">
        <f>+'[4]cc2007'!C9</f>
        <v>200</v>
      </c>
      <c r="F9" s="287">
        <f>+'[4]cc2008'!C9</f>
        <v>200</v>
      </c>
      <c r="G9" s="288">
        <f>+'[4]cc2009'!C9</f>
        <v>200</v>
      </c>
      <c r="H9" s="288">
        <f>+'[4]cc2010'!H9</f>
        <v>200</v>
      </c>
      <c r="I9" s="289">
        <f>'[4]cc2011'!H8</f>
        <v>200</v>
      </c>
      <c r="J9" s="290"/>
      <c r="K9" s="291"/>
      <c r="M9" s="292"/>
      <c r="N9" s="291"/>
      <c r="P9" s="292"/>
      <c r="Q9" s="291"/>
      <c r="S9" s="292"/>
      <c r="T9" s="291"/>
      <c r="V9" s="292"/>
    </row>
    <row r="10" spans="1:22" ht="31.5" hidden="1">
      <c r="A10" s="283"/>
      <c r="B10" s="284" t="s">
        <v>271</v>
      </c>
      <c r="C10" s="285"/>
      <c r="D10" s="286">
        <f>+'[4]cc2006'!C10</f>
        <v>2000</v>
      </c>
      <c r="E10" s="287">
        <f>+'[4]cc2007'!C10</f>
        <v>2500</v>
      </c>
      <c r="F10" s="287">
        <f>+'[4]cc2008'!C10</f>
        <v>2300</v>
      </c>
      <c r="G10" s="288">
        <f>+'[4]cc2009'!C10</f>
        <v>3700</v>
      </c>
      <c r="H10" s="288">
        <f>+'[4]cc2010'!H10</f>
        <v>3700</v>
      </c>
      <c r="I10" s="289">
        <f>'[4]cc2011'!H9</f>
        <v>4500</v>
      </c>
      <c r="J10" s="290"/>
      <c r="K10" s="291"/>
      <c r="M10" s="292"/>
      <c r="N10" s="291"/>
      <c r="P10" s="292"/>
      <c r="Q10" s="291"/>
      <c r="S10" s="292"/>
      <c r="T10" s="291"/>
      <c r="V10" s="292"/>
    </row>
    <row r="11" spans="1:10" ht="15.75" hidden="1">
      <c r="A11" s="283"/>
      <c r="B11" s="293" t="s">
        <v>270</v>
      </c>
      <c r="C11" s="285"/>
      <c r="D11" s="287"/>
      <c r="E11" s="287"/>
      <c r="F11" s="287">
        <f>+'[4]cc2008'!C11</f>
        <v>120</v>
      </c>
      <c r="G11" s="288"/>
      <c r="H11" s="288"/>
      <c r="I11" s="289"/>
      <c r="J11" s="290"/>
    </row>
    <row r="12" spans="1:10" ht="31.5" hidden="1">
      <c r="A12" s="283"/>
      <c r="B12" s="294" t="s">
        <v>269</v>
      </c>
      <c r="C12" s="295"/>
      <c r="D12" s="287"/>
      <c r="E12" s="287"/>
      <c r="F12" s="287"/>
      <c r="G12" s="288">
        <f>+'[4]cc2009'!C11</f>
        <v>4900</v>
      </c>
      <c r="H12" s="288">
        <f>+'[4]cc2010'!H11</f>
        <v>3500</v>
      </c>
      <c r="I12" s="289">
        <f>'[4]cc2011'!H10</f>
        <v>3500</v>
      </c>
      <c r="J12" s="290"/>
    </row>
    <row r="13" spans="1:10" ht="78.75" hidden="1">
      <c r="A13" s="283"/>
      <c r="B13" s="294" t="s">
        <v>268</v>
      </c>
      <c r="C13" s="295"/>
      <c r="D13" s="287">
        <f>+'[4]cc2006'!C11</f>
        <v>150</v>
      </c>
      <c r="E13" s="287" t="e">
        <f>+'[4]cc2007'!C11</f>
        <v>#REF!</v>
      </c>
      <c r="F13" s="287"/>
      <c r="G13" s="288">
        <f>+'[4]cc2009'!C12</f>
        <v>160</v>
      </c>
      <c r="H13" s="288">
        <f>+'[4]cc2010'!H12</f>
        <v>300</v>
      </c>
      <c r="I13" s="289">
        <f>'[4]cc2011'!H11</f>
        <v>820</v>
      </c>
      <c r="J13" s="290"/>
    </row>
    <row r="14" spans="1:10" ht="15.75" hidden="1">
      <c r="A14" s="283"/>
      <c r="B14" s="296" t="s">
        <v>267</v>
      </c>
      <c r="C14" s="297"/>
      <c r="D14" s="287"/>
      <c r="E14" s="287">
        <f>+'[4]cc2007'!C13</f>
        <v>100</v>
      </c>
      <c r="F14" s="287"/>
      <c r="G14" s="288"/>
      <c r="H14" s="288"/>
      <c r="I14" s="289"/>
      <c r="J14" s="290"/>
    </row>
    <row r="15" spans="1:10" ht="15.75" hidden="1">
      <c r="A15" s="283"/>
      <c r="B15" s="293" t="s">
        <v>266</v>
      </c>
      <c r="C15" s="285"/>
      <c r="D15" s="287"/>
      <c r="E15" s="287">
        <f>+'[4]cc2007'!C12</f>
        <v>1000</v>
      </c>
      <c r="F15" s="287">
        <f>+'[4]cc2008'!C12</f>
        <v>600</v>
      </c>
      <c r="G15" s="288">
        <f>+'[4]cc2009'!C13</f>
        <v>800</v>
      </c>
      <c r="H15" s="288">
        <f>+'[4]cc2010'!H13</f>
        <v>800</v>
      </c>
      <c r="I15" s="289">
        <f>'[4]cc2011'!H12</f>
        <v>880</v>
      </c>
      <c r="J15" s="290"/>
    </row>
    <row r="16" spans="1:10" s="281" customFormat="1" ht="45.75" customHeight="1">
      <c r="A16" s="272"/>
      <c r="B16" s="298" t="s">
        <v>215</v>
      </c>
      <c r="C16" s="274" t="e">
        <f>+D16+E16+F16+G16+H16</f>
        <v>#REF!</v>
      </c>
      <c r="D16" s="276" t="e">
        <f>+D21+D33+D53+D55</f>
        <v>#REF!</v>
      </c>
      <c r="E16" s="276" t="e">
        <f>+E21+E33+E53+E55</f>
        <v>#REF!</v>
      </c>
      <c r="F16" s="276" t="e">
        <f>+F21+F33+F53+F55</f>
        <v>#REF!</v>
      </c>
      <c r="G16" s="276" t="e">
        <f>+G21+G33+G53+G55</f>
        <v>#REF!</v>
      </c>
      <c r="H16" s="276" t="e">
        <f>+H21+H33+H53+H55</f>
        <v>#REF!</v>
      </c>
      <c r="I16" s="276">
        <f>'[4]cc2006-2010'!I14</f>
        <v>880</v>
      </c>
      <c r="J16" s="269"/>
    </row>
    <row r="17" spans="1:10" s="281" customFormat="1" ht="45.75" customHeight="1" hidden="1">
      <c r="A17" s="272"/>
      <c r="B17" s="298" t="s">
        <v>215</v>
      </c>
      <c r="C17" s="274">
        <f>+D17+E17+F17+G17+H17</f>
        <v>1287000</v>
      </c>
      <c r="D17" s="276">
        <v>167000</v>
      </c>
      <c r="E17" s="276">
        <v>210000</v>
      </c>
      <c r="F17" s="276">
        <v>260000</v>
      </c>
      <c r="G17" s="276">
        <v>300000</v>
      </c>
      <c r="H17" s="276">
        <v>350000</v>
      </c>
      <c r="I17" s="276">
        <f>'[4]cc2006-2010'!I15</f>
        <v>141425.55204045697</v>
      </c>
      <c r="J17" s="279"/>
    </row>
    <row r="18" spans="1:10" s="281" customFormat="1" ht="30.75" customHeight="1" hidden="1">
      <c r="A18" s="272"/>
      <c r="B18" s="298"/>
      <c r="C18" s="274"/>
      <c r="D18" s="274">
        <v>170000</v>
      </c>
      <c r="E18" s="274">
        <v>210000</v>
      </c>
      <c r="F18" s="274">
        <v>260000</v>
      </c>
      <c r="G18" s="274">
        <v>300000</v>
      </c>
      <c r="H18" s="274">
        <v>350000</v>
      </c>
      <c r="I18" s="274">
        <f>+I21+I33+I53+I55</f>
        <v>141425.55204045697</v>
      </c>
      <c r="J18" s="279"/>
    </row>
    <row r="19" spans="1:10" s="281" customFormat="1" ht="36" customHeight="1" hidden="1">
      <c r="A19" s="272"/>
      <c r="B19" s="298"/>
      <c r="C19" s="274"/>
      <c r="D19" s="274">
        <v>45000</v>
      </c>
      <c r="E19" s="274">
        <v>45000</v>
      </c>
      <c r="F19" s="274">
        <v>45000</v>
      </c>
      <c r="G19" s="274">
        <v>45000</v>
      </c>
      <c r="H19" s="274">
        <v>45000</v>
      </c>
      <c r="I19" s="274"/>
      <c r="J19" s="279"/>
    </row>
    <row r="20" spans="1:10" s="281" customFormat="1" ht="45.75" customHeight="1" hidden="1">
      <c r="A20" s="272"/>
      <c r="B20" s="298"/>
      <c r="C20" s="299" t="e">
        <f aca="true" t="shared" si="0" ref="C20:H20">+C24+C26+C28+C30+C32+C36+C38+C40+C42+C44+C46+C48+C50+C52+C54+C56</f>
        <v>#REF!</v>
      </c>
      <c r="D20" s="299">
        <f t="shared" si="0"/>
        <v>100</v>
      </c>
      <c r="E20" s="299">
        <f t="shared" si="0"/>
        <v>100</v>
      </c>
      <c r="F20" s="299">
        <f t="shared" si="0"/>
        <v>100</v>
      </c>
      <c r="G20" s="299">
        <f t="shared" si="0"/>
        <v>100.00000000000001</v>
      </c>
      <c r="H20" s="299">
        <f t="shared" si="0"/>
        <v>100.00000000000001</v>
      </c>
      <c r="I20" s="274"/>
      <c r="J20" s="279"/>
    </row>
    <row r="21" spans="1:10" s="270" customFormat="1" ht="40.5" customHeight="1">
      <c r="A21" s="272" t="s">
        <v>101</v>
      </c>
      <c r="B21" s="298" t="s">
        <v>265</v>
      </c>
      <c r="C21" s="300" t="e">
        <f>+D21+E21+F21+G21+H21</f>
        <v>#REF!</v>
      </c>
      <c r="D21" s="300" t="e">
        <f aca="true" t="shared" si="1" ref="D21:I21">+D23+D25+D27+D29+D31</f>
        <v>#REF!</v>
      </c>
      <c r="E21" s="300" t="e">
        <f t="shared" si="1"/>
        <v>#REF!</v>
      </c>
      <c r="F21" s="300" t="e">
        <f t="shared" si="1"/>
        <v>#REF!</v>
      </c>
      <c r="G21" s="300" t="e">
        <f t="shared" si="1"/>
        <v>#REF!</v>
      </c>
      <c r="H21" s="300" t="e">
        <f t="shared" si="1"/>
        <v>#REF!</v>
      </c>
      <c r="I21" s="274">
        <f t="shared" si="1"/>
        <v>66858.44406704056</v>
      </c>
      <c r="J21" s="279"/>
    </row>
    <row r="22" spans="1:22" s="307" customFormat="1" ht="28.5" customHeight="1">
      <c r="A22" s="301"/>
      <c r="B22" s="302" t="s">
        <v>217</v>
      </c>
      <c r="C22" s="303" t="e">
        <f aca="true" t="shared" si="2" ref="C22:H22">100*C21/C$63</f>
        <v>#REF!</v>
      </c>
      <c r="D22" s="304" t="e">
        <f t="shared" si="2"/>
        <v>#REF!</v>
      </c>
      <c r="E22" s="303" t="e">
        <f t="shared" si="2"/>
        <v>#REF!</v>
      </c>
      <c r="F22" s="303" t="e">
        <f t="shared" si="2"/>
        <v>#REF!</v>
      </c>
      <c r="G22" s="303" t="e">
        <f t="shared" si="2"/>
        <v>#REF!</v>
      </c>
      <c r="H22" s="303" t="e">
        <f t="shared" si="2"/>
        <v>#REF!</v>
      </c>
      <c r="I22" s="303"/>
      <c r="J22" s="305"/>
      <c r="K22" s="306"/>
      <c r="M22" s="308"/>
      <c r="N22" s="306"/>
      <c r="P22" s="308"/>
      <c r="Q22" s="306"/>
      <c r="S22" s="308"/>
      <c r="T22" s="306"/>
      <c r="V22" s="308"/>
    </row>
    <row r="23" spans="1:20" ht="40.5" customHeight="1">
      <c r="A23" s="283">
        <v>1</v>
      </c>
      <c r="B23" s="293" t="s">
        <v>264</v>
      </c>
      <c r="C23" s="309" t="e">
        <f>+D23+E23+F23+G23+H23</f>
        <v>#REF!</v>
      </c>
      <c r="D23" s="310" t="e">
        <f>+D24*D$63/100</f>
        <v>#REF!</v>
      </c>
      <c r="E23" s="309" t="e">
        <f>+E24*E$63/100</f>
        <v>#REF!</v>
      </c>
      <c r="F23" s="309" t="e">
        <f>+F24*F$63/100</f>
        <v>#REF!</v>
      </c>
      <c r="G23" s="309" t="e">
        <f>+G24*G$63/100</f>
        <v>#REF!</v>
      </c>
      <c r="H23" s="309" t="e">
        <f>+H24*H$63/100</f>
        <v>#REF!</v>
      </c>
      <c r="I23" s="287">
        <f>+I24*I$17/100</f>
        <v>2137</v>
      </c>
      <c r="J23" s="311"/>
      <c r="K23" s="291"/>
      <c r="M23" s="292"/>
      <c r="N23" s="291"/>
      <c r="P23" s="292"/>
      <c r="Q23" s="291"/>
      <c r="S23" s="292"/>
      <c r="T23" s="291"/>
    </row>
    <row r="24" spans="1:22" s="307" customFormat="1" ht="22.5" customHeight="1">
      <c r="A24" s="301"/>
      <c r="B24" s="302" t="s">
        <v>217</v>
      </c>
      <c r="C24" s="303" t="e">
        <f>100*C23/C$63</f>
        <v>#REF!</v>
      </c>
      <c r="D24" s="304">
        <v>4.3</v>
      </c>
      <c r="E24" s="303">
        <v>4.2</v>
      </c>
      <c r="F24" s="303">
        <v>4.1</v>
      </c>
      <c r="G24" s="303">
        <v>4</v>
      </c>
      <c r="H24" s="303">
        <v>3.9</v>
      </c>
      <c r="I24" s="312">
        <f>'[4]cc2006-2010'!I32</f>
        <v>1.5110423605690986</v>
      </c>
      <c r="J24" s="305"/>
      <c r="K24" s="306"/>
      <c r="M24" s="308"/>
      <c r="N24" s="306"/>
      <c r="P24" s="308"/>
      <c r="Q24" s="306"/>
      <c r="S24" s="308"/>
      <c r="T24" s="306"/>
      <c r="V24" s="308"/>
    </row>
    <row r="25" spans="1:20" ht="40.5" customHeight="1">
      <c r="A25" s="283">
        <f>+A23+1</f>
        <v>2</v>
      </c>
      <c r="B25" s="293" t="s">
        <v>263</v>
      </c>
      <c r="C25" s="309" t="e">
        <f>+D25+E25+F25+G25+H25</f>
        <v>#REF!</v>
      </c>
      <c r="D25" s="309" t="e">
        <f>+D26*D$63/100</f>
        <v>#REF!</v>
      </c>
      <c r="E25" s="309" t="e">
        <f>+E26*E$63/100</f>
        <v>#REF!</v>
      </c>
      <c r="F25" s="309" t="e">
        <f>+F26*F$63/100</f>
        <v>#REF!</v>
      </c>
      <c r="G25" s="309" t="e">
        <f>+G26*G$63/100</f>
        <v>#REF!</v>
      </c>
      <c r="H25" s="309" t="e">
        <f>+H26*H$63/100</f>
        <v>#REF!</v>
      </c>
      <c r="I25" s="287">
        <f>+I26*I$17/100</f>
        <v>29715.15436937331</v>
      </c>
      <c r="J25" s="290"/>
      <c r="K25" s="291"/>
      <c r="M25" s="292"/>
      <c r="N25" s="291"/>
      <c r="P25" s="292"/>
      <c r="Q25" s="291"/>
      <c r="S25" s="292"/>
      <c r="T25" s="291"/>
    </row>
    <row r="26" spans="1:22" s="307" customFormat="1" ht="22.5" customHeight="1">
      <c r="A26" s="301"/>
      <c r="B26" s="302" t="s">
        <v>217</v>
      </c>
      <c r="C26" s="303" t="e">
        <f>100*C25/C$63</f>
        <v>#REF!</v>
      </c>
      <c r="D26" s="304">
        <v>21.5</v>
      </c>
      <c r="E26" s="303">
        <v>21.6</v>
      </c>
      <c r="F26" s="303">
        <v>21.7</v>
      </c>
      <c r="G26" s="303">
        <v>21.8</v>
      </c>
      <c r="H26" s="303">
        <v>21.8</v>
      </c>
      <c r="I26" s="312">
        <f>'[4]cc2006-2010'!I69</f>
        <v>21.011163782392615</v>
      </c>
      <c r="J26" s="313"/>
      <c r="K26" s="306"/>
      <c r="M26" s="308"/>
      <c r="N26" s="306"/>
      <c r="P26" s="308"/>
      <c r="Q26" s="306"/>
      <c r="S26" s="308"/>
      <c r="T26" s="306"/>
      <c r="V26" s="308"/>
    </row>
    <row r="27" spans="1:10" ht="40.5" customHeight="1">
      <c r="A27" s="283">
        <f>+A25+1</f>
        <v>3</v>
      </c>
      <c r="B27" s="293" t="s">
        <v>262</v>
      </c>
      <c r="C27" s="309" t="e">
        <f>+D27+E27+F27+G27+H27</f>
        <v>#REF!</v>
      </c>
      <c r="D27" s="309" t="e">
        <f>+D28*D$63/100</f>
        <v>#REF!</v>
      </c>
      <c r="E27" s="309" t="e">
        <f>+E28*E$63/100</f>
        <v>#REF!</v>
      </c>
      <c r="F27" s="309" t="e">
        <f>+F28*F$63/100</f>
        <v>#REF!</v>
      </c>
      <c r="G27" s="309" t="e">
        <f>+G28*G$63/100</f>
        <v>#REF!</v>
      </c>
      <c r="H27" s="309" t="e">
        <f>+H28*H$63/100</f>
        <v>#REF!</v>
      </c>
      <c r="I27" s="287">
        <f>+I28*I$17/100</f>
        <v>32348.157614015763</v>
      </c>
      <c r="J27" s="290"/>
    </row>
    <row r="28" spans="1:10" s="307" customFormat="1" ht="22.5" customHeight="1">
      <c r="A28" s="301"/>
      <c r="B28" s="314" t="s">
        <v>217</v>
      </c>
      <c r="C28" s="303" t="e">
        <f>100*C27/C$63</f>
        <v>#REF!</v>
      </c>
      <c r="D28" s="303">
        <v>28.3</v>
      </c>
      <c r="E28" s="303">
        <v>28.5</v>
      </c>
      <c r="F28" s="303">
        <v>28.7</v>
      </c>
      <c r="G28" s="303">
        <v>28.9</v>
      </c>
      <c r="H28" s="303">
        <v>30</v>
      </c>
      <c r="I28" s="312">
        <f>'[4]cc2006-2010'!I101</f>
        <v>22.87292299538776</v>
      </c>
      <c r="J28" s="313"/>
    </row>
    <row r="29" spans="1:10" ht="39.75" customHeight="1">
      <c r="A29" s="283">
        <f>+A27+1</f>
        <v>4</v>
      </c>
      <c r="B29" s="293" t="s">
        <v>228</v>
      </c>
      <c r="C29" s="309" t="e">
        <f>+D29+E29+F29+G29+H29</f>
        <v>#REF!</v>
      </c>
      <c r="D29" s="309" t="e">
        <f>+D30*D$63/100</f>
        <v>#REF!</v>
      </c>
      <c r="E29" s="309" t="e">
        <f>+E30*E$63/100</f>
        <v>#REF!</v>
      </c>
      <c r="F29" s="309" t="e">
        <f>+F30*F$63/100</f>
        <v>#REF!</v>
      </c>
      <c r="G29" s="309" t="e">
        <f>+G30*G$63/100</f>
        <v>#REF!</v>
      </c>
      <c r="H29" s="309" t="e">
        <f>+H30*H$63/100</f>
        <v>#REF!</v>
      </c>
      <c r="I29" s="287">
        <f>+I30*I$17/100</f>
        <v>1558.5831768189735</v>
      </c>
      <c r="J29" s="290"/>
    </row>
    <row r="30" spans="1:10" s="307" customFormat="1" ht="22.5" customHeight="1">
      <c r="A30" s="301"/>
      <c r="B30" s="314" t="s">
        <v>217</v>
      </c>
      <c r="C30" s="303" t="e">
        <f>100*C29/C$63</f>
        <v>#REF!</v>
      </c>
      <c r="D30" s="303">
        <v>1</v>
      </c>
      <c r="E30" s="303">
        <v>0.9</v>
      </c>
      <c r="F30" s="303">
        <v>0.8</v>
      </c>
      <c r="G30" s="303">
        <v>0.7</v>
      </c>
      <c r="H30" s="303">
        <v>0.5</v>
      </c>
      <c r="I30" s="312">
        <f>'[4]cc2006-2010'!I117</f>
        <v>1.1020520368010418</v>
      </c>
      <c r="J30" s="313"/>
    </row>
    <row r="31" spans="1:10" ht="40.5" customHeight="1">
      <c r="A31" s="283">
        <f>+A29+1</f>
        <v>5</v>
      </c>
      <c r="B31" s="293" t="s">
        <v>261</v>
      </c>
      <c r="C31" s="309" t="e">
        <f>+D31+E31+F31+G31+H31</f>
        <v>#REF!</v>
      </c>
      <c r="D31" s="309" t="e">
        <f>+D32*D$63/100</f>
        <v>#REF!</v>
      </c>
      <c r="E31" s="309" t="e">
        <f>+E32*E$63/100</f>
        <v>#REF!</v>
      </c>
      <c r="F31" s="309" t="e">
        <f>+F32*F$63/100</f>
        <v>#REF!</v>
      </c>
      <c r="G31" s="309" t="e">
        <f>+G32*G$63/100</f>
        <v>#REF!</v>
      </c>
      <c r="H31" s="309" t="e">
        <f>+H32*H$63/100</f>
        <v>#REF!</v>
      </c>
      <c r="I31" s="287">
        <f>+I32*I$17/100</f>
        <v>1099.548906832512</v>
      </c>
      <c r="J31" s="290"/>
    </row>
    <row r="32" spans="1:10" s="307" customFormat="1" ht="22.5" customHeight="1">
      <c r="A32" s="301"/>
      <c r="B32" s="314" t="s">
        <v>217</v>
      </c>
      <c r="C32" s="303" t="e">
        <f>100*C31/C$63</f>
        <v>#REF!</v>
      </c>
      <c r="D32" s="303">
        <v>0.8</v>
      </c>
      <c r="E32" s="303">
        <v>0.7</v>
      </c>
      <c r="F32" s="303">
        <v>0.6</v>
      </c>
      <c r="G32" s="303">
        <v>0.5</v>
      </c>
      <c r="H32" s="303">
        <v>0.4</v>
      </c>
      <c r="I32" s="312">
        <f>'[4]cc2006-2010'!I126</f>
        <v>0.7774754214980679</v>
      </c>
      <c r="J32" s="313"/>
    </row>
    <row r="33" spans="1:16" s="270" customFormat="1" ht="40.5" customHeight="1">
      <c r="A33" s="272" t="s">
        <v>102</v>
      </c>
      <c r="B33" s="298" t="s">
        <v>260</v>
      </c>
      <c r="C33" s="300" t="e">
        <f>+D33+E33+F33+G33+H33</f>
        <v>#REF!</v>
      </c>
      <c r="D33" s="300" t="e">
        <f aca="true" t="shared" si="3" ref="D33:I33">+D35+D37+D39+D41+D43+D45+D47+D49+D51</f>
        <v>#REF!</v>
      </c>
      <c r="E33" s="300" t="e">
        <f t="shared" si="3"/>
        <v>#REF!</v>
      </c>
      <c r="F33" s="300" t="e">
        <f t="shared" si="3"/>
        <v>#REF!</v>
      </c>
      <c r="G33" s="300" t="e">
        <f t="shared" si="3"/>
        <v>#REF!</v>
      </c>
      <c r="H33" s="300" t="e">
        <f t="shared" si="3"/>
        <v>#REF!</v>
      </c>
      <c r="I33" s="274">
        <f t="shared" si="3"/>
        <v>68161.3079734164</v>
      </c>
      <c r="J33" s="279"/>
      <c r="M33" s="270" t="s">
        <v>259</v>
      </c>
      <c r="N33" s="270" t="s">
        <v>257</v>
      </c>
      <c r="O33" s="270" t="s">
        <v>256</v>
      </c>
      <c r="P33" s="270" t="s">
        <v>254</v>
      </c>
    </row>
    <row r="34" spans="1:10" s="307" customFormat="1" ht="24" customHeight="1">
      <c r="A34" s="301"/>
      <c r="B34" s="314" t="s">
        <v>217</v>
      </c>
      <c r="C34" s="303" t="e">
        <f aca="true" t="shared" si="4" ref="C34:H34">100*C33/C$63</f>
        <v>#REF!</v>
      </c>
      <c r="D34" s="303" t="e">
        <f t="shared" si="4"/>
        <v>#REF!</v>
      </c>
      <c r="E34" s="303" t="e">
        <f t="shared" si="4"/>
        <v>#REF!</v>
      </c>
      <c r="F34" s="303" t="e">
        <f t="shared" si="4"/>
        <v>#REF!</v>
      </c>
      <c r="G34" s="303" t="e">
        <f t="shared" si="4"/>
        <v>#REF!</v>
      </c>
      <c r="H34" s="303" t="e">
        <f t="shared" si="4"/>
        <v>#REF!</v>
      </c>
      <c r="I34" s="303"/>
      <c r="J34" s="313"/>
    </row>
    <row r="35" spans="1:13" ht="40.5" customHeight="1">
      <c r="A35" s="283">
        <f>+A31+1</f>
        <v>6</v>
      </c>
      <c r="B35" s="293" t="s">
        <v>258</v>
      </c>
      <c r="C35" s="309" t="e">
        <f>+D35+E35+F35+G35+H35</f>
        <v>#REF!</v>
      </c>
      <c r="D35" s="309" t="e">
        <f>+D36*D$63/100</f>
        <v>#REF!</v>
      </c>
      <c r="E35" s="309" t="e">
        <f>+E36*E$63/100</f>
        <v>#REF!</v>
      </c>
      <c r="F35" s="309" t="e">
        <f>+F36*F$63/100</f>
        <v>#REF!</v>
      </c>
      <c r="G35" s="309" t="e">
        <f>+G36*G$63/100</f>
        <v>#REF!</v>
      </c>
      <c r="H35" s="309" t="e">
        <f>+H36*H$63/100</f>
        <v>#REF!</v>
      </c>
      <c r="I35" s="287">
        <f>+I36*I$17/100</f>
        <v>5609.594388896713</v>
      </c>
      <c r="J35" s="290"/>
      <c r="L35" s="245" t="s">
        <v>257</v>
      </c>
      <c r="M35" s="245">
        <v>0.1</v>
      </c>
    </row>
    <row r="36" spans="1:13" s="307" customFormat="1" ht="22.5" customHeight="1">
      <c r="A36" s="301"/>
      <c r="B36" s="314" t="s">
        <v>217</v>
      </c>
      <c r="C36" s="303" t="e">
        <f>100*C35/C$63</f>
        <v>#REF!</v>
      </c>
      <c r="D36" s="303">
        <v>3</v>
      </c>
      <c r="E36" s="303">
        <v>3</v>
      </c>
      <c r="F36" s="303">
        <v>3</v>
      </c>
      <c r="G36" s="303">
        <v>3</v>
      </c>
      <c r="H36" s="303">
        <v>3</v>
      </c>
      <c r="I36" s="312">
        <f>'[4]cc2006-2010'!I138</f>
        <v>3.9664645518173423</v>
      </c>
      <c r="J36" s="313"/>
      <c r="L36" s="307" t="s">
        <v>256</v>
      </c>
      <c r="M36" s="307">
        <v>0.25</v>
      </c>
    </row>
    <row r="37" spans="1:13" ht="40.5" customHeight="1">
      <c r="A37" s="283">
        <f>+A35+1</f>
        <v>7</v>
      </c>
      <c r="B37" s="293" t="s">
        <v>255</v>
      </c>
      <c r="C37" s="309" t="e">
        <f>+D37+E37+F37+G37+H37</f>
        <v>#REF!</v>
      </c>
      <c r="D37" s="309" t="e">
        <f>+D38*D$63/100</f>
        <v>#REF!</v>
      </c>
      <c r="E37" s="309" t="e">
        <f>+E38*E$63/100</f>
        <v>#REF!</v>
      </c>
      <c r="F37" s="309" t="e">
        <f>+F38*F$63/100</f>
        <v>#REF!</v>
      </c>
      <c r="G37" s="309" t="e">
        <f>+G38*G$63/100</f>
        <v>#REF!</v>
      </c>
      <c r="H37" s="309" t="e">
        <f>+H38*H$63/100</f>
        <v>#REF!</v>
      </c>
      <c r="I37" s="287">
        <f>+I38*I$17/100</f>
        <v>5019.7</v>
      </c>
      <c r="J37" s="290"/>
      <c r="L37" s="245" t="s">
        <v>254</v>
      </c>
      <c r="M37" s="245">
        <v>0.55</v>
      </c>
    </row>
    <row r="38" spans="1:10" s="307" customFormat="1" ht="22.5" customHeight="1">
      <c r="A38" s="301"/>
      <c r="B38" s="314" t="s">
        <v>217</v>
      </c>
      <c r="C38" s="303" t="e">
        <f>100*C37/C$63</f>
        <v>#REF!</v>
      </c>
      <c r="D38" s="303">
        <v>2.8</v>
      </c>
      <c r="E38" s="303">
        <v>3</v>
      </c>
      <c r="F38" s="303">
        <v>3.2</v>
      </c>
      <c r="G38" s="303">
        <v>3.3</v>
      </c>
      <c r="H38" s="303">
        <v>3.4</v>
      </c>
      <c r="I38" s="312">
        <f>'[4]cc2006-2010'!I153</f>
        <v>3.549358604281097</v>
      </c>
      <c r="J38" s="313"/>
    </row>
    <row r="39" spans="1:22" ht="40.5" customHeight="1">
      <c r="A39" s="283">
        <f>+A37+1</f>
        <v>8</v>
      </c>
      <c r="B39" s="284" t="s">
        <v>253</v>
      </c>
      <c r="C39" s="309" t="e">
        <f>+D39+E39+F39+G39+H39</f>
        <v>#REF!</v>
      </c>
      <c r="D39" s="310" t="e">
        <f>+D40*D$63/100</f>
        <v>#REF!</v>
      </c>
      <c r="E39" s="309" t="e">
        <f>+E40*E$63/100</f>
        <v>#REF!</v>
      </c>
      <c r="F39" s="309" t="e">
        <f>+F40*F$63/100</f>
        <v>#REF!</v>
      </c>
      <c r="G39" s="309" t="e">
        <f>+G40*G$63/100</f>
        <v>#REF!</v>
      </c>
      <c r="H39" s="309" t="e">
        <f>+H40*H$63/100</f>
        <v>#REF!</v>
      </c>
      <c r="I39" s="287">
        <f>+I40*I$17/100</f>
        <v>2954.3022918643965</v>
      </c>
      <c r="J39" s="290"/>
      <c r="K39" s="291"/>
      <c r="M39" s="292"/>
      <c r="N39" s="291"/>
      <c r="P39" s="292"/>
      <c r="Q39" s="291"/>
      <c r="S39" s="292"/>
      <c r="T39" s="291"/>
      <c r="V39" s="292"/>
    </row>
    <row r="40" spans="1:10" s="307" customFormat="1" ht="22.5" customHeight="1">
      <c r="A40" s="301"/>
      <c r="B40" s="314" t="s">
        <v>217</v>
      </c>
      <c r="C40" s="303" t="e">
        <f>100*C39/C$63</f>
        <v>#REF!</v>
      </c>
      <c r="D40" s="303">
        <v>1.7</v>
      </c>
      <c r="E40" s="303">
        <v>1.7</v>
      </c>
      <c r="F40" s="303">
        <v>1.8</v>
      </c>
      <c r="G40" s="303">
        <v>1.9</v>
      </c>
      <c r="H40" s="303">
        <v>1.9</v>
      </c>
      <c r="I40" s="312">
        <f>'[4]cc2006-2010'!I162</f>
        <v>2.0889452077367694</v>
      </c>
      <c r="J40" s="313"/>
    </row>
    <row r="41" spans="1:12" ht="40.5" customHeight="1">
      <c r="A41" s="283">
        <f>+A39+1</f>
        <v>9</v>
      </c>
      <c r="B41" s="293" t="s">
        <v>234</v>
      </c>
      <c r="C41" s="309" t="e">
        <f>+D41+E41+F41+G41+H41</f>
        <v>#REF!</v>
      </c>
      <c r="D41" s="309" t="e">
        <f>+D42*D$63/100</f>
        <v>#REF!</v>
      </c>
      <c r="E41" s="309" t="e">
        <f>+E42*E$63/100</f>
        <v>#REF!</v>
      </c>
      <c r="F41" s="309" t="e">
        <f>+F42*F$63/100</f>
        <v>#REF!</v>
      </c>
      <c r="G41" s="309" t="e">
        <f>+G42*G$63/100</f>
        <v>#REF!</v>
      </c>
      <c r="H41" s="309" t="e">
        <f>+H42*H$63/100</f>
        <v>#REF!</v>
      </c>
      <c r="I41" s="287">
        <f>+I42*I$17/100</f>
        <v>24837.7</v>
      </c>
      <c r="J41" s="290"/>
      <c r="L41" s="245" t="s">
        <v>252</v>
      </c>
    </row>
    <row r="42" spans="1:10" s="307" customFormat="1" ht="22.5" customHeight="1">
      <c r="A42" s="301"/>
      <c r="B42" s="314" t="s">
        <v>217</v>
      </c>
      <c r="C42" s="303" t="e">
        <f>100*C41/C$63</f>
        <v>#REF!</v>
      </c>
      <c r="D42" s="303">
        <v>15.8</v>
      </c>
      <c r="E42" s="303">
        <v>16</v>
      </c>
      <c r="F42" s="303">
        <v>16.2</v>
      </c>
      <c r="G42" s="303">
        <v>16.4</v>
      </c>
      <c r="H42" s="303">
        <v>16.5</v>
      </c>
      <c r="I42" s="312">
        <f>'[4]cc2006-2010'!I190</f>
        <v>17.562385044037015</v>
      </c>
      <c r="J42" s="313"/>
    </row>
    <row r="43" spans="1:13" ht="40.5" customHeight="1">
      <c r="A43" s="283">
        <f>+A41+1</f>
        <v>10</v>
      </c>
      <c r="B43" s="293" t="s">
        <v>251</v>
      </c>
      <c r="C43" s="309" t="e">
        <f>+D43+E43+F43+G43+H43</f>
        <v>#REF!</v>
      </c>
      <c r="D43" s="309" t="e">
        <f>+D44*D$63/100</f>
        <v>#REF!</v>
      </c>
      <c r="E43" s="309" t="e">
        <f>+E44*E$63/100</f>
        <v>#REF!</v>
      </c>
      <c r="F43" s="309" t="e">
        <f>+F44*F$63/100</f>
        <v>#REF!</v>
      </c>
      <c r="G43" s="309" t="e">
        <f>+G44*G$63/100</f>
        <v>#REF!</v>
      </c>
      <c r="H43" s="309" t="e">
        <f>+H44*H$63/100</f>
        <v>#REF!</v>
      </c>
      <c r="I43" s="287">
        <f>+I44*I$17/100</f>
        <v>8018.572504599956</v>
      </c>
      <c r="J43" s="290"/>
      <c r="K43" s="245" t="s">
        <v>251</v>
      </c>
      <c r="L43" s="245">
        <f>+'[4]cc2010'!C154</f>
        <v>5678.5351351351355</v>
      </c>
      <c r="M43" s="245">
        <f>+L43/(L43+L45)</f>
        <v>0.6189692805260986</v>
      </c>
    </row>
    <row r="44" spans="1:10" s="307" customFormat="1" ht="22.5" customHeight="1">
      <c r="A44" s="301"/>
      <c r="B44" s="314" t="s">
        <v>217</v>
      </c>
      <c r="C44" s="303" t="e">
        <f>100*C43/C$63</f>
        <v>#REF!</v>
      </c>
      <c r="D44" s="303">
        <v>6.1</v>
      </c>
      <c r="E44" s="303">
        <v>6</v>
      </c>
      <c r="F44" s="303">
        <v>5.9</v>
      </c>
      <c r="G44" s="303">
        <v>5.9</v>
      </c>
      <c r="H44" s="303">
        <v>5.8</v>
      </c>
      <c r="I44" s="312">
        <f>'[4]cc2006-2010'!I212</f>
        <v>5.669818776670653</v>
      </c>
      <c r="J44" s="313"/>
    </row>
    <row r="45" spans="1:13" ht="40.5" customHeight="1">
      <c r="A45" s="283">
        <f>+A43+1</f>
        <v>11</v>
      </c>
      <c r="B45" s="293" t="s">
        <v>250</v>
      </c>
      <c r="C45" s="309" t="e">
        <f>+D45+E45+F45+G45+H45</f>
        <v>#REF!</v>
      </c>
      <c r="D45" s="309" t="e">
        <f>+D46*D$63/100</f>
        <v>#REF!</v>
      </c>
      <c r="E45" s="309" t="e">
        <f>+E46*E$63/100</f>
        <v>#REF!</v>
      </c>
      <c r="F45" s="309" t="e">
        <f>+F46*F$63/100</f>
        <v>#REF!</v>
      </c>
      <c r="G45" s="309" t="e">
        <f>+G46*G$63/100</f>
        <v>#REF!</v>
      </c>
      <c r="H45" s="309" t="e">
        <f>+H46*H$63/100</f>
        <v>#REF!</v>
      </c>
      <c r="I45" s="287">
        <f>+I46*I$17/100</f>
        <v>5461.431251255277</v>
      </c>
      <c r="J45" s="290"/>
      <c r="K45" s="245" t="s">
        <v>250</v>
      </c>
      <c r="L45" s="245">
        <f>+'[4]cc2010'!C170</f>
        <v>3495.644123500466</v>
      </c>
      <c r="M45" s="245">
        <f>+L45/(L43+L45)</f>
        <v>0.38103071947390127</v>
      </c>
    </row>
    <row r="46" spans="1:10" s="307" customFormat="1" ht="24.75" customHeight="1">
      <c r="A46" s="301"/>
      <c r="B46" s="314" t="s">
        <v>217</v>
      </c>
      <c r="C46" s="303" t="e">
        <f>100*C45/C$63</f>
        <v>#REF!</v>
      </c>
      <c r="D46" s="303">
        <v>2.8</v>
      </c>
      <c r="E46" s="303">
        <v>2.9</v>
      </c>
      <c r="F46" s="303">
        <v>2.9</v>
      </c>
      <c r="G46" s="303">
        <v>3</v>
      </c>
      <c r="H46" s="303">
        <v>3</v>
      </c>
      <c r="I46" s="312">
        <f>'[4]cc2006-2010'!I236</f>
        <v>3.861700500693786</v>
      </c>
      <c r="J46" s="313"/>
    </row>
    <row r="47" spans="1:12" ht="40.5" customHeight="1">
      <c r="A47" s="283">
        <v>12</v>
      </c>
      <c r="B47" s="293" t="s">
        <v>249</v>
      </c>
      <c r="C47" s="309" t="e">
        <f>+D47+E47+F47+G47+H47</f>
        <v>#REF!</v>
      </c>
      <c r="D47" s="309" t="e">
        <f>+D48*D$63/100</f>
        <v>#REF!</v>
      </c>
      <c r="E47" s="309" t="e">
        <f>+E48*E$63/100</f>
        <v>#REF!</v>
      </c>
      <c r="F47" s="309" t="e">
        <f>+F48*F$63/100</f>
        <v>#REF!</v>
      </c>
      <c r="G47" s="309" t="e">
        <f>+G48*G$63/100</f>
        <v>#REF!</v>
      </c>
      <c r="H47" s="309" t="e">
        <f>+H48*H$63/100</f>
        <v>#REF!</v>
      </c>
      <c r="I47" s="287">
        <f>+I48*I$17/100</f>
        <v>3899.979185976318</v>
      </c>
      <c r="J47" s="290"/>
      <c r="K47" s="245" t="s">
        <v>248</v>
      </c>
      <c r="L47" s="245">
        <f>+'[4]cc2010'!H192+'[4]cc2010'!H211</f>
        <v>4522.533988113533</v>
      </c>
    </row>
    <row r="48" spans="1:13" s="307" customFormat="1" ht="22.5" customHeight="1">
      <c r="A48" s="301"/>
      <c r="B48" s="314" t="s">
        <v>217</v>
      </c>
      <c r="C48" s="303" t="e">
        <f>100*C47/C$63</f>
        <v>#REF!</v>
      </c>
      <c r="D48" s="303">
        <v>1.9</v>
      </c>
      <c r="E48" s="303">
        <v>1.8</v>
      </c>
      <c r="F48" s="303">
        <v>1.7</v>
      </c>
      <c r="G48" s="303">
        <v>1.5</v>
      </c>
      <c r="H48" s="303">
        <v>1.2</v>
      </c>
      <c r="I48" s="312">
        <f>'[4]cc2006-2010'!I270</f>
        <v>2.7576199135928907</v>
      </c>
      <c r="J48" s="313"/>
      <c r="K48" s="245" t="s">
        <v>247</v>
      </c>
      <c r="L48" s="307">
        <f>+'[4]cc2010'!H192-580</f>
        <v>3116.5592327232416</v>
      </c>
      <c r="M48" s="307">
        <f>+L48/L47</f>
        <v>0.6891179239148714</v>
      </c>
    </row>
    <row r="49" spans="1:13" ht="40.5" customHeight="1">
      <c r="A49" s="283">
        <v>13</v>
      </c>
      <c r="B49" s="293" t="s">
        <v>246</v>
      </c>
      <c r="C49" s="309" t="e">
        <f>+D49+E49+F49+G49+H49</f>
        <v>#REF!</v>
      </c>
      <c r="D49" s="309" t="e">
        <f>+D50*D$63/100</f>
        <v>#REF!</v>
      </c>
      <c r="E49" s="309" t="e">
        <f>+E50*E$63/100</f>
        <v>#REF!</v>
      </c>
      <c r="F49" s="309" t="e">
        <f>+F50*F$63/100</f>
        <v>#REF!</v>
      </c>
      <c r="G49" s="309" t="e">
        <f>+G50*G$63/100</f>
        <v>#REF!</v>
      </c>
      <c r="H49" s="309" t="e">
        <f>+H50*H$63/100</f>
        <v>#REF!</v>
      </c>
      <c r="I49" s="287">
        <f>+I50*I$17/100</f>
        <v>1089.2936307293148</v>
      </c>
      <c r="J49" s="290"/>
      <c r="K49" s="245" t="s">
        <v>245</v>
      </c>
      <c r="L49" s="307">
        <f>+'[4]cc2010'!H211+580</f>
        <v>1405.9747553902912</v>
      </c>
      <c r="M49" s="245">
        <f>+L49/L47</f>
        <v>0.3108820760851285</v>
      </c>
    </row>
    <row r="50" spans="1:10" s="307" customFormat="1" ht="22.5" customHeight="1">
      <c r="A50" s="301"/>
      <c r="B50" s="314" t="s">
        <v>217</v>
      </c>
      <c r="C50" s="303" t="e">
        <f>100*C49/C$63</f>
        <v>#REF!</v>
      </c>
      <c r="D50" s="303">
        <v>0.8</v>
      </c>
      <c r="E50" s="303">
        <v>0.7</v>
      </c>
      <c r="F50" s="303">
        <v>0.6</v>
      </c>
      <c r="G50" s="303">
        <v>0.5</v>
      </c>
      <c r="H50" s="303">
        <v>0.4</v>
      </c>
      <c r="I50" s="312">
        <f>'[4]cc2006-2010'!I275</f>
        <v>0.7702240613617725</v>
      </c>
      <c r="J50" s="313"/>
    </row>
    <row r="51" spans="1:10" ht="40.5" customHeight="1">
      <c r="A51" s="283">
        <f>+A49+1</f>
        <v>14</v>
      </c>
      <c r="B51" s="293" t="s">
        <v>244</v>
      </c>
      <c r="C51" s="309" t="e">
        <f>+D51+E51+F51+G51+H51</f>
        <v>#REF!</v>
      </c>
      <c r="D51" s="309" t="e">
        <f>+D52*D$63/100</f>
        <v>#REF!</v>
      </c>
      <c r="E51" s="309" t="e">
        <f>+E52*E$63/100</f>
        <v>#REF!</v>
      </c>
      <c r="F51" s="309" t="e">
        <f>+F52*F$63/100</f>
        <v>#REF!</v>
      </c>
      <c r="G51" s="309" t="e">
        <f>+G52*G$63/100</f>
        <v>#REF!</v>
      </c>
      <c r="H51" s="309" t="e">
        <f>+H52*H$63/100</f>
        <v>#REF!</v>
      </c>
      <c r="I51" s="287">
        <f>+I52*I$17/100</f>
        <v>11270.734720094428</v>
      </c>
      <c r="J51" s="290"/>
    </row>
    <row r="52" spans="1:10" s="307" customFormat="1" ht="22.5" customHeight="1">
      <c r="A52" s="301"/>
      <c r="B52" s="314" t="s">
        <v>217</v>
      </c>
      <c r="C52" s="303" t="e">
        <f>100*C51/C$63</f>
        <v>#REF!</v>
      </c>
      <c r="D52" s="303">
        <v>6</v>
      </c>
      <c r="E52" s="303">
        <v>5.8</v>
      </c>
      <c r="F52" s="303">
        <v>5.6</v>
      </c>
      <c r="G52" s="303">
        <v>5.4</v>
      </c>
      <c r="H52" s="303">
        <v>5</v>
      </c>
      <c r="I52" s="312">
        <f>'[4]cc2006-2010'!I294</f>
        <v>7.96937650762732</v>
      </c>
      <c r="J52" s="313"/>
    </row>
    <row r="53" spans="1:13" s="270" customFormat="1" ht="40.5" customHeight="1">
      <c r="A53" s="272" t="s">
        <v>115</v>
      </c>
      <c r="B53" s="298" t="s">
        <v>243</v>
      </c>
      <c r="C53" s="300" t="e">
        <f>+D53+E53+F53+G53+H53</f>
        <v>#REF!</v>
      </c>
      <c r="D53" s="315" t="e">
        <f>+D54*D$63/100</f>
        <v>#REF!</v>
      </c>
      <c r="E53" s="315" t="e">
        <f>+E54*E$63/100</f>
        <v>#REF!</v>
      </c>
      <c r="F53" s="315" t="e">
        <f>+F54*F$63/100</f>
        <v>#REF!</v>
      </c>
      <c r="G53" s="315" t="e">
        <f>+G54*G$63/100</f>
        <v>#REF!</v>
      </c>
      <c r="H53" s="315" t="e">
        <f>+H54*H$63/100</f>
        <v>#REF!</v>
      </c>
      <c r="I53" s="276">
        <f>+I54*I$17/100</f>
        <v>4635.8</v>
      </c>
      <c r="J53" s="279"/>
      <c r="K53" s="270" t="s">
        <v>243</v>
      </c>
      <c r="L53" s="270">
        <v>3150</v>
      </c>
      <c r="M53" s="245">
        <f>+L53/(L53+L55)</f>
        <v>0.7682926829268293</v>
      </c>
    </row>
    <row r="54" spans="1:10" s="307" customFormat="1" ht="22.5" customHeight="1">
      <c r="A54" s="301"/>
      <c r="B54" s="314" t="s">
        <v>217</v>
      </c>
      <c r="C54" s="303" t="e">
        <f>100*C53/C$63</f>
        <v>#REF!</v>
      </c>
      <c r="D54" s="303">
        <v>2.4</v>
      </c>
      <c r="E54" s="303">
        <v>2.4</v>
      </c>
      <c r="F54" s="303">
        <v>2.4</v>
      </c>
      <c r="G54" s="303">
        <v>2.4</v>
      </c>
      <c r="H54" s="303">
        <v>2.4</v>
      </c>
      <c r="I54" s="312">
        <f>'[4]cc2006-2010'!I302</f>
        <v>3.2779083645887823</v>
      </c>
      <c r="J54" s="313"/>
    </row>
    <row r="55" spans="1:13" s="270" customFormat="1" ht="40.5" customHeight="1">
      <c r="A55" s="272" t="s">
        <v>116</v>
      </c>
      <c r="B55" s="298" t="s">
        <v>242</v>
      </c>
      <c r="C55" s="300" t="e">
        <f>+D55+E55+F55+G55+H55</f>
        <v>#REF!</v>
      </c>
      <c r="D55" s="315" t="e">
        <f>+D56*D$63/100</f>
        <v>#REF!</v>
      </c>
      <c r="E55" s="315" t="e">
        <f>+E56*E$63/100</f>
        <v>#REF!</v>
      </c>
      <c r="F55" s="315" t="e">
        <f>+F56*F$63/100</f>
        <v>#REF!</v>
      </c>
      <c r="G55" s="315" t="e">
        <f>+G56*G$63/100</f>
        <v>#REF!</v>
      </c>
      <c r="H55" s="315" t="e">
        <f>+H56*H$63/100</f>
        <v>#REF!</v>
      </c>
      <c r="I55" s="276">
        <f>+I56*I$17/100</f>
        <v>1770</v>
      </c>
      <c r="J55" s="279"/>
      <c r="K55" s="270" t="s">
        <v>242</v>
      </c>
      <c r="L55" s="270">
        <v>950</v>
      </c>
      <c r="M55" s="270">
        <f>+L55/(L53+L55)</f>
        <v>0.23170731707317074</v>
      </c>
    </row>
    <row r="56" spans="1:10" s="307" customFormat="1" ht="22.5" customHeight="1">
      <c r="A56" s="301"/>
      <c r="B56" s="314" t="s">
        <v>217</v>
      </c>
      <c r="C56" s="303" t="e">
        <f>100*C55/C$63</f>
        <v>#REF!</v>
      </c>
      <c r="D56" s="303">
        <v>0.8</v>
      </c>
      <c r="E56" s="303">
        <v>0.8</v>
      </c>
      <c r="F56" s="303">
        <v>0.8</v>
      </c>
      <c r="G56" s="303">
        <v>0.8</v>
      </c>
      <c r="H56" s="303">
        <v>0.8</v>
      </c>
      <c r="I56" s="312">
        <f>'[4]cc2006-2010'!I310</f>
        <v>1.251541870943989</v>
      </c>
      <c r="J56" s="313"/>
    </row>
    <row r="57" spans="1:12" s="270" customFormat="1" ht="40.5" customHeight="1" hidden="1">
      <c r="A57" s="316" t="s">
        <v>116</v>
      </c>
      <c r="B57" s="317" t="s">
        <v>241</v>
      </c>
      <c r="C57" s="318" t="e">
        <f>'[4]cc2006-2010'!C311</f>
        <v>#REF!</v>
      </c>
      <c r="D57" s="319">
        <f>'[4]cc2006-2010'!D311</f>
        <v>943</v>
      </c>
      <c r="E57" s="319">
        <f>'[4]cc2006-2010'!E311</f>
        <v>889.56</v>
      </c>
      <c r="F57" s="319">
        <f>'[4]cc2006-2010'!F311</f>
        <v>477</v>
      </c>
      <c r="G57" s="319">
        <f>'[4]cc2006-2010'!G311</f>
        <v>191.2</v>
      </c>
      <c r="H57" s="320">
        <f>'[4]cc2006-2010'!H311</f>
        <v>482.2</v>
      </c>
      <c r="I57" s="321">
        <f>'[4]cc2006-2010'!I311</f>
        <v>494.5</v>
      </c>
      <c r="J57" s="279"/>
      <c r="L57" s="270">
        <f>247.4+3244.7</f>
        <v>3492.1</v>
      </c>
    </row>
    <row r="58" spans="1:10" ht="9.75" customHeight="1" hidden="1">
      <c r="A58" s="322"/>
      <c r="B58" s="323"/>
      <c r="C58" s="324"/>
      <c r="D58" s="325"/>
      <c r="E58" s="326"/>
      <c r="F58" s="326"/>
      <c r="G58" s="326"/>
      <c r="H58" s="327"/>
      <c r="I58" s="328"/>
      <c r="J58" s="290"/>
    </row>
    <row r="59" spans="1:10" s="270" customFormat="1" ht="22.5" customHeight="1" hidden="1">
      <c r="A59" s="272"/>
      <c r="B59" s="298" t="s">
        <v>240</v>
      </c>
      <c r="C59" s="274"/>
      <c r="D59" s="298"/>
      <c r="E59" s="276"/>
      <c r="F59" s="276"/>
      <c r="G59" s="276"/>
      <c r="H59" s="277"/>
      <c r="I59" s="278" t="e">
        <f>#REF!+#REF!</f>
        <v>#REF!</v>
      </c>
      <c r="J59" s="279"/>
    </row>
    <row r="60" spans="1:10" s="270" customFormat="1" ht="33.75" customHeight="1" hidden="1">
      <c r="A60" s="272" t="s">
        <v>239</v>
      </c>
      <c r="B60" s="298" t="s">
        <v>238</v>
      </c>
      <c r="C60" s="274"/>
      <c r="D60" s="298"/>
      <c r="E60" s="276">
        <f>+'[4]cc2007'!C244</f>
        <v>207</v>
      </c>
      <c r="F60" s="276"/>
      <c r="G60" s="276"/>
      <c r="H60" s="277"/>
      <c r="I60" s="278"/>
      <c r="J60" s="279"/>
    </row>
    <row r="61" spans="1:10" ht="9.75" customHeight="1">
      <c r="A61" s="329"/>
      <c r="B61" s="330"/>
      <c r="C61" s="331"/>
      <c r="D61" s="330"/>
      <c r="E61" s="332"/>
      <c r="F61" s="332"/>
      <c r="G61" s="332"/>
      <c r="H61" s="333"/>
      <c r="I61" s="334"/>
      <c r="J61" s="290"/>
    </row>
    <row r="62" ht="42" customHeight="1"/>
    <row r="63" spans="1:10" s="281" customFormat="1" ht="28.5" customHeight="1">
      <c r="A63" s="272"/>
      <c r="B63" s="298" t="s">
        <v>174</v>
      </c>
      <c r="C63" s="274" t="e">
        <f>+D63+E63+F63+G63+H63</f>
        <v>#REF!</v>
      </c>
      <c r="D63" s="276" t="e">
        <f>1000*(#REF!+#REF!)</f>
        <v>#REF!</v>
      </c>
      <c r="E63" s="276" t="e">
        <f>1000*(#REF!+#REF!)</f>
        <v>#REF!</v>
      </c>
      <c r="F63" s="276" t="e">
        <f>1000*(#REF!+#REF!)</f>
        <v>#REF!</v>
      </c>
      <c r="G63" s="276" t="e">
        <f>1000*(#REF!+#REF!)</f>
        <v>#REF!</v>
      </c>
      <c r="H63" s="276" t="e">
        <f>1000*(#REF!+#REF!)</f>
        <v>#REF!</v>
      </c>
      <c r="I63" s="276"/>
      <c r="J63" s="279"/>
    </row>
    <row r="64" ht="15.75">
      <c r="A64" s="337"/>
    </row>
    <row r="65" spans="1:10" ht="15.75">
      <c r="A65" s="245"/>
      <c r="B65" s="338"/>
      <c r="C65" s="339"/>
      <c r="D65" s="338"/>
      <c r="E65" s="338"/>
      <c r="F65" s="340"/>
      <c r="G65" s="338"/>
      <c r="H65" s="341"/>
      <c r="I65" s="342"/>
      <c r="J65" s="342"/>
    </row>
  </sheetData>
  <sheetProtection/>
  <mergeCells count="3">
    <mergeCell ref="A1:H1"/>
    <mergeCell ref="A2:I2"/>
    <mergeCell ref="F4:I4"/>
  </mergeCells>
  <printOptions horizontalCentered="1"/>
  <pageMargins left="0.7086614173228347" right="0.7086614173228347" top="0.78" bottom="0.65" header="0.31496062992125984" footer="0.31496062992125984"/>
  <pageSetup fitToHeight="0" fitToWidth="1" horizontalDpi="1200" verticalDpi="1200" orientation="landscape" paperSize="9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1" width="31.421875" style="155" customWidth="1"/>
    <col min="2" max="2" width="11.140625" style="155" customWidth="1"/>
    <col min="3" max="3" width="2.140625" style="155" customWidth="1"/>
    <col min="4" max="4" width="10.8515625" style="155" customWidth="1"/>
    <col min="5" max="9" width="13.421875" style="155" hidden="1" customWidth="1"/>
    <col min="10" max="10" width="13.421875" style="155" customWidth="1"/>
    <col min="11" max="11" width="11.00390625" style="155" customWidth="1"/>
    <col min="12" max="12" width="1.8515625" style="155" customWidth="1"/>
    <col min="13" max="13" width="9.8515625" style="155" customWidth="1"/>
    <col min="14" max="14" width="11.00390625" style="155" customWidth="1"/>
    <col min="15" max="15" width="2.00390625" style="155" customWidth="1"/>
    <col min="16" max="16" width="10.140625" style="155" customWidth="1"/>
    <col min="17" max="17" width="11.421875" style="155" customWidth="1"/>
    <col min="18" max="18" width="1.8515625" style="155" customWidth="1"/>
    <col min="19" max="19" width="9.57421875" style="155" customWidth="1"/>
    <col min="20" max="20" width="11.140625" style="155" customWidth="1"/>
    <col min="21" max="21" width="1.421875" style="155" customWidth="1"/>
    <col min="22" max="22" width="10.8515625" style="155" customWidth="1"/>
    <col min="23" max="16384" width="11.421875" style="155" customWidth="1"/>
  </cols>
  <sheetData>
    <row r="1" spans="8:25" ht="33.75" customHeight="1">
      <c r="H1" s="1032"/>
      <c r="I1" s="1032"/>
      <c r="V1" s="173" t="s">
        <v>275</v>
      </c>
      <c r="W1" s="192"/>
      <c r="X1" s="192"/>
      <c r="Y1" s="192"/>
    </row>
    <row r="2" spans="1:20" ht="30.75" customHeight="1">
      <c r="A2" s="1037" t="s">
        <v>133</v>
      </c>
      <c r="B2" s="1037"/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</row>
    <row r="3" spans="1:9" ht="14.25" customHeight="1">
      <c r="A3" s="141"/>
      <c r="B3" s="141"/>
      <c r="C3" s="141"/>
      <c r="D3" s="141"/>
      <c r="E3" s="141"/>
      <c r="F3" s="141"/>
      <c r="G3" s="141"/>
      <c r="H3" s="1032"/>
      <c r="I3" s="1032"/>
    </row>
    <row r="4" spans="1:20" ht="27" customHeight="1">
      <c r="A4" s="142"/>
      <c r="B4" s="142"/>
      <c r="C4" s="142"/>
      <c r="D4" s="142"/>
      <c r="E4" s="142"/>
      <c r="F4" s="142"/>
      <c r="G4" s="142"/>
      <c r="H4" s="1036" t="s">
        <v>134</v>
      </c>
      <c r="I4" s="1036"/>
      <c r="J4" s="1036"/>
      <c r="K4" s="1036"/>
      <c r="L4" s="1036"/>
      <c r="M4" s="1036"/>
      <c r="N4" s="1036"/>
      <c r="O4" s="1036"/>
      <c r="P4" s="1036"/>
      <c r="Q4" s="1036"/>
      <c r="R4" s="1036"/>
      <c r="S4" s="1036"/>
      <c r="T4" s="1036"/>
    </row>
    <row r="5" spans="1:22" ht="43.5" customHeight="1">
      <c r="A5" s="156"/>
      <c r="B5" s="1038" t="s">
        <v>135</v>
      </c>
      <c r="C5" s="1039"/>
      <c r="D5" s="1040"/>
      <c r="E5" s="143" t="s">
        <v>136</v>
      </c>
      <c r="F5" s="143" t="s">
        <v>137</v>
      </c>
      <c r="G5" s="143" t="s">
        <v>138</v>
      </c>
      <c r="H5" s="143" t="s">
        <v>139</v>
      </c>
      <c r="I5" s="143" t="s">
        <v>140</v>
      </c>
      <c r="J5" s="163" t="s">
        <v>213</v>
      </c>
      <c r="K5" s="1038" t="s">
        <v>141</v>
      </c>
      <c r="L5" s="1039"/>
      <c r="M5" s="1040"/>
      <c r="N5" s="1038" t="s">
        <v>142</v>
      </c>
      <c r="O5" s="1039"/>
      <c r="P5" s="1040"/>
      <c r="Q5" s="1038" t="s">
        <v>143</v>
      </c>
      <c r="R5" s="1039"/>
      <c r="S5" s="1040"/>
      <c r="T5" s="1038" t="s">
        <v>144</v>
      </c>
      <c r="U5" s="1039"/>
      <c r="V5" s="1040"/>
    </row>
    <row r="6" spans="1:20" s="167" customFormat="1" ht="36" customHeight="1" hidden="1">
      <c r="A6" s="164" t="s">
        <v>281</v>
      </c>
      <c r="B6" s="165"/>
      <c r="C6" s="165"/>
      <c r="D6" s="165"/>
      <c r="E6" s="165"/>
      <c r="F6" s="165"/>
      <c r="G6" s="165"/>
      <c r="H6" s="165"/>
      <c r="I6" s="165"/>
      <c r="J6" s="166"/>
      <c r="K6" s="165"/>
      <c r="L6" s="165"/>
      <c r="M6" s="165"/>
      <c r="N6" s="165"/>
      <c r="O6" s="165"/>
      <c r="P6" s="165"/>
      <c r="Q6" s="165"/>
      <c r="R6" s="165"/>
      <c r="S6" s="165"/>
      <c r="T6" s="176"/>
    </row>
    <row r="7" spans="1:22" s="148" customFormat="1" ht="24.75" customHeight="1">
      <c r="A7" s="144" t="s">
        <v>145</v>
      </c>
      <c r="B7" s="195" t="e">
        <f>+J7+K7+N7+Q7+T7</f>
        <v>#REF!</v>
      </c>
      <c r="C7" s="180" t="s">
        <v>284</v>
      </c>
      <c r="D7" s="197" t="e">
        <f>+B41</f>
        <v>#REF!</v>
      </c>
      <c r="E7" s="146"/>
      <c r="F7" s="147">
        <f>F8-F9</f>
        <v>-10360</v>
      </c>
      <c r="G7" s="147"/>
      <c r="H7" s="147">
        <f>H8-H9</f>
        <v>-14960</v>
      </c>
      <c r="I7" s="147">
        <f>I8-I9</f>
        <v>-14800</v>
      </c>
      <c r="J7" s="147" t="e">
        <f>+J8-J9</f>
        <v>#REF!</v>
      </c>
      <c r="K7" s="193" t="e">
        <f>+K8-K9</f>
        <v>#REF!</v>
      </c>
      <c r="L7" s="184" t="s">
        <v>284</v>
      </c>
      <c r="M7" s="199" t="e">
        <f>+K41</f>
        <v>#REF!</v>
      </c>
      <c r="N7" s="193" t="e">
        <f>+N8-N9</f>
        <v>#REF!</v>
      </c>
      <c r="O7" s="184" t="s">
        <v>284</v>
      </c>
      <c r="P7" s="199" t="e">
        <f>+N41</f>
        <v>#REF!</v>
      </c>
      <c r="Q7" s="193" t="e">
        <f>+Q8-Q9</f>
        <v>#REF!</v>
      </c>
      <c r="R7" s="184" t="s">
        <v>284</v>
      </c>
      <c r="S7" s="199" t="e">
        <f>+Q41</f>
        <v>#REF!</v>
      </c>
      <c r="T7" s="193" t="e">
        <f>+T8-T9</f>
        <v>#REF!</v>
      </c>
      <c r="U7" s="187" t="s">
        <v>284</v>
      </c>
      <c r="V7" s="199" t="e">
        <f>+T41</f>
        <v>#REF!</v>
      </c>
    </row>
    <row r="8" spans="1:22" s="159" customFormat="1" ht="24.75" customHeight="1">
      <c r="A8" s="157" t="s">
        <v>146</v>
      </c>
      <c r="B8" s="196" t="e">
        <f aca="true" t="shared" si="0" ref="B8:B18">+J8+K8+N8+Q8+T8</f>
        <v>#REF!</v>
      </c>
      <c r="C8" s="181" t="s">
        <v>284</v>
      </c>
      <c r="D8" s="198" t="e">
        <f aca="true" t="shared" si="1" ref="D8:D39">+B42</f>
        <v>#REF!</v>
      </c>
      <c r="E8" s="158"/>
      <c r="F8" s="152">
        <v>48561</v>
      </c>
      <c r="G8" s="152"/>
      <c r="H8" s="152">
        <v>64000</v>
      </c>
      <c r="I8" s="152">
        <v>76700</v>
      </c>
      <c r="J8" s="152" t="e">
        <f>+#REF!*1000</f>
        <v>#REF!</v>
      </c>
      <c r="K8" s="194" t="e">
        <f>+#REF!*1000</f>
        <v>#REF!</v>
      </c>
      <c r="L8" s="182" t="s">
        <v>284</v>
      </c>
      <c r="M8" s="200" t="e">
        <f aca="true" t="shared" si="2" ref="M8:M39">+K42</f>
        <v>#REF!</v>
      </c>
      <c r="N8" s="194" t="e">
        <f>+#REF!*1000</f>
        <v>#REF!</v>
      </c>
      <c r="O8" s="182" t="s">
        <v>284</v>
      </c>
      <c r="P8" s="200" t="e">
        <f aca="true" t="shared" si="3" ref="P8:P39">+N42</f>
        <v>#REF!</v>
      </c>
      <c r="Q8" s="194" t="e">
        <f>+#REF!*1000</f>
        <v>#REF!</v>
      </c>
      <c r="R8" s="182" t="s">
        <v>284</v>
      </c>
      <c r="S8" s="200" t="e">
        <f aca="true" t="shared" si="4" ref="S8:S39">+Q42</f>
        <v>#REF!</v>
      </c>
      <c r="T8" s="194" t="e">
        <f>+#REF!*1000</f>
        <v>#REF!</v>
      </c>
      <c r="U8" s="188" t="s">
        <v>284</v>
      </c>
      <c r="V8" s="200" t="e">
        <f aca="true" t="shared" si="5" ref="V8:V39">+T42</f>
        <v>#REF!</v>
      </c>
    </row>
    <row r="9" spans="1:22" s="159" customFormat="1" ht="24.75" customHeight="1">
      <c r="A9" s="157" t="s">
        <v>147</v>
      </c>
      <c r="B9" s="196" t="e">
        <f t="shared" si="0"/>
        <v>#REF!</v>
      </c>
      <c r="C9" s="181" t="s">
        <v>284</v>
      </c>
      <c r="D9" s="198" t="e">
        <f t="shared" si="1"/>
        <v>#REF!</v>
      </c>
      <c r="E9" s="158"/>
      <c r="F9" s="152">
        <v>58921</v>
      </c>
      <c r="G9" s="160"/>
      <c r="H9" s="160">
        <v>78960</v>
      </c>
      <c r="I9" s="160">
        <v>91500</v>
      </c>
      <c r="J9" s="152" t="e">
        <f>0.9*J10</f>
        <v>#REF!</v>
      </c>
      <c r="K9" s="194" t="e">
        <f>0.9*K10</f>
        <v>#REF!</v>
      </c>
      <c r="L9" s="182" t="s">
        <v>284</v>
      </c>
      <c r="M9" s="200" t="e">
        <f t="shared" si="2"/>
        <v>#REF!</v>
      </c>
      <c r="N9" s="194" t="e">
        <f>0.9*N10</f>
        <v>#REF!</v>
      </c>
      <c r="O9" s="182" t="s">
        <v>284</v>
      </c>
      <c r="P9" s="200" t="e">
        <f t="shared" si="3"/>
        <v>#REF!</v>
      </c>
      <c r="Q9" s="194" t="e">
        <f>0.9*Q10</f>
        <v>#REF!</v>
      </c>
      <c r="R9" s="182" t="s">
        <v>284</v>
      </c>
      <c r="S9" s="200" t="e">
        <f t="shared" si="4"/>
        <v>#REF!</v>
      </c>
      <c r="T9" s="194" t="e">
        <f>0.9*T10</f>
        <v>#REF!</v>
      </c>
      <c r="U9" s="188" t="s">
        <v>284</v>
      </c>
      <c r="V9" s="200" t="e">
        <f t="shared" si="5"/>
        <v>#REF!</v>
      </c>
    </row>
    <row r="10" spans="1:22" s="159" customFormat="1" ht="24.75" customHeight="1">
      <c r="A10" s="157" t="s">
        <v>148</v>
      </c>
      <c r="B10" s="196" t="e">
        <f t="shared" si="0"/>
        <v>#REF!</v>
      </c>
      <c r="C10" s="181" t="s">
        <v>284</v>
      </c>
      <c r="D10" s="198" t="e">
        <f t="shared" si="1"/>
        <v>#REF!</v>
      </c>
      <c r="E10" s="158"/>
      <c r="F10" s="152">
        <v>62682</v>
      </c>
      <c r="G10" s="160"/>
      <c r="H10" s="160">
        <v>84000</v>
      </c>
      <c r="I10" s="160">
        <v>97400</v>
      </c>
      <c r="J10" s="152" t="e">
        <f>+#REF!*1000</f>
        <v>#REF!</v>
      </c>
      <c r="K10" s="194" t="e">
        <f>+#REF!*1000</f>
        <v>#REF!</v>
      </c>
      <c r="L10" s="182" t="s">
        <v>284</v>
      </c>
      <c r="M10" s="200" t="e">
        <f t="shared" si="2"/>
        <v>#REF!</v>
      </c>
      <c r="N10" s="194" t="e">
        <f>+#REF!*1000</f>
        <v>#REF!</v>
      </c>
      <c r="O10" s="182" t="s">
        <v>284</v>
      </c>
      <c r="P10" s="200" t="e">
        <f t="shared" si="3"/>
        <v>#REF!</v>
      </c>
      <c r="Q10" s="194" t="e">
        <f>+#REF!*1000</f>
        <v>#REF!</v>
      </c>
      <c r="R10" s="182" t="s">
        <v>284</v>
      </c>
      <c r="S10" s="200" t="e">
        <f t="shared" si="4"/>
        <v>#REF!</v>
      </c>
      <c r="T10" s="194" t="e">
        <f>+#REF!*1000</f>
        <v>#REF!</v>
      </c>
      <c r="U10" s="188" t="s">
        <v>284</v>
      </c>
      <c r="V10" s="200" t="e">
        <f t="shared" si="5"/>
        <v>#REF!</v>
      </c>
    </row>
    <row r="11" spans="1:22" s="159" customFormat="1" ht="15" customHeight="1">
      <c r="A11" s="157"/>
      <c r="B11" s="178"/>
      <c r="C11" s="181"/>
      <c r="D11" s="174"/>
      <c r="E11" s="158"/>
      <c r="F11" s="152"/>
      <c r="G11" s="152"/>
      <c r="H11" s="152"/>
      <c r="I11" s="152"/>
      <c r="J11" s="152"/>
      <c r="K11" s="179"/>
      <c r="L11" s="182"/>
      <c r="M11" s="175"/>
      <c r="N11" s="179"/>
      <c r="O11" s="182"/>
      <c r="P11" s="175"/>
      <c r="Q11" s="179"/>
      <c r="R11" s="182"/>
      <c r="S11" s="175"/>
      <c r="T11" s="179"/>
      <c r="U11" s="188"/>
      <c r="V11" s="189"/>
    </row>
    <row r="12" spans="1:22" s="148" customFormat="1" ht="24.75" customHeight="1">
      <c r="A12" s="150" t="s">
        <v>149</v>
      </c>
      <c r="B12" s="1041">
        <f t="shared" si="0"/>
        <v>-11500</v>
      </c>
      <c r="C12" s="1042"/>
      <c r="D12" s="1043"/>
      <c r="E12" s="151"/>
      <c r="F12" s="161">
        <f>F13-F14</f>
        <v>-894</v>
      </c>
      <c r="G12" s="161"/>
      <c r="H12" s="161">
        <v>-1300</v>
      </c>
      <c r="I12" s="161">
        <v>-1391</v>
      </c>
      <c r="J12" s="152">
        <v>-3000</v>
      </c>
      <c r="K12" s="1033">
        <v>-1500</v>
      </c>
      <c r="L12" s="1034"/>
      <c r="M12" s="1035"/>
      <c r="N12" s="1033">
        <v>-2000</v>
      </c>
      <c r="O12" s="1034"/>
      <c r="P12" s="1035"/>
      <c r="Q12" s="1033">
        <v>-2500</v>
      </c>
      <c r="R12" s="1034"/>
      <c r="S12" s="1035"/>
      <c r="T12" s="1033">
        <v>-2500</v>
      </c>
      <c r="U12" s="1034"/>
      <c r="V12" s="1035"/>
    </row>
    <row r="13" spans="1:22" s="159" customFormat="1" ht="24.75" customHeight="1" hidden="1">
      <c r="A13" s="157" t="s">
        <v>150</v>
      </c>
      <c r="B13" s="177">
        <f t="shared" si="0"/>
        <v>0</v>
      </c>
      <c r="C13" s="181" t="s">
        <v>284</v>
      </c>
      <c r="D13" s="174">
        <f t="shared" si="1"/>
        <v>0</v>
      </c>
      <c r="E13" s="158"/>
      <c r="F13" s="152">
        <v>6030</v>
      </c>
      <c r="G13" s="152"/>
      <c r="H13" s="152">
        <v>7055</v>
      </c>
      <c r="I13" s="152">
        <v>7549</v>
      </c>
      <c r="J13" s="152"/>
      <c r="K13" s="179"/>
      <c r="L13" s="182" t="s">
        <v>284</v>
      </c>
      <c r="M13" s="175">
        <f t="shared" si="2"/>
        <v>0</v>
      </c>
      <c r="N13" s="179"/>
      <c r="O13" s="182" t="s">
        <v>284</v>
      </c>
      <c r="P13" s="175">
        <f t="shared" si="3"/>
        <v>0</v>
      </c>
      <c r="Q13" s="179"/>
      <c r="R13" s="182" t="s">
        <v>284</v>
      </c>
      <c r="S13" s="175">
        <f t="shared" si="4"/>
        <v>0</v>
      </c>
      <c r="T13" s="179"/>
      <c r="U13" s="188" t="s">
        <v>284</v>
      </c>
      <c r="V13" s="189">
        <f t="shared" si="5"/>
        <v>0</v>
      </c>
    </row>
    <row r="14" spans="1:22" s="159" customFormat="1" ht="24.75" customHeight="1" hidden="1">
      <c r="A14" s="157" t="s">
        <v>151</v>
      </c>
      <c r="B14" s="177">
        <f t="shared" si="0"/>
        <v>0</v>
      </c>
      <c r="C14" s="181" t="s">
        <v>284</v>
      </c>
      <c r="D14" s="174">
        <f t="shared" si="1"/>
        <v>0</v>
      </c>
      <c r="E14" s="158"/>
      <c r="F14" s="152">
        <v>6924</v>
      </c>
      <c r="G14" s="152"/>
      <c r="H14" s="152">
        <v>8355</v>
      </c>
      <c r="I14" s="152">
        <v>8940</v>
      </c>
      <c r="J14" s="152"/>
      <c r="K14" s="179"/>
      <c r="L14" s="182" t="s">
        <v>284</v>
      </c>
      <c r="M14" s="175">
        <f t="shared" si="2"/>
        <v>0</v>
      </c>
      <c r="N14" s="179"/>
      <c r="O14" s="182" t="s">
        <v>284</v>
      </c>
      <c r="P14" s="175">
        <f t="shared" si="3"/>
        <v>0</v>
      </c>
      <c r="Q14" s="179"/>
      <c r="R14" s="182" t="s">
        <v>284</v>
      </c>
      <c r="S14" s="175">
        <f t="shared" si="4"/>
        <v>0</v>
      </c>
      <c r="T14" s="179"/>
      <c r="U14" s="188" t="s">
        <v>284</v>
      </c>
      <c r="V14" s="189">
        <f t="shared" si="5"/>
        <v>0</v>
      </c>
    </row>
    <row r="15" spans="1:22" s="148" customFormat="1" ht="24.75" customHeight="1">
      <c r="A15" s="150" t="s">
        <v>152</v>
      </c>
      <c r="B15" s="1041">
        <f t="shared" si="0"/>
        <v>-34086</v>
      </c>
      <c r="C15" s="1042"/>
      <c r="D15" s="1043"/>
      <c r="E15" s="151"/>
      <c r="F15" s="161">
        <f>F16-F17</f>
        <v>-2168</v>
      </c>
      <c r="G15" s="161"/>
      <c r="H15" s="161">
        <f>H16-H17</f>
        <v>-2432</v>
      </c>
      <c r="I15" s="161">
        <f>I16-I17</f>
        <v>-2602</v>
      </c>
      <c r="J15" s="152">
        <v>-5124</v>
      </c>
      <c r="K15" s="1033">
        <v>-6950</v>
      </c>
      <c r="L15" s="1034"/>
      <c r="M15" s="1035"/>
      <c r="N15" s="1033">
        <v>-6452</v>
      </c>
      <c r="O15" s="1034"/>
      <c r="P15" s="1035"/>
      <c r="Q15" s="1033">
        <v>-7109</v>
      </c>
      <c r="R15" s="1034"/>
      <c r="S15" s="1035"/>
      <c r="T15" s="1033">
        <v>-8451</v>
      </c>
      <c r="U15" s="1034"/>
      <c r="V15" s="1035"/>
    </row>
    <row r="16" spans="1:22" s="159" customFormat="1" ht="24.75" customHeight="1" hidden="1">
      <c r="A16" s="157" t="s">
        <v>150</v>
      </c>
      <c r="B16" s="177">
        <f t="shared" si="0"/>
        <v>0</v>
      </c>
      <c r="C16" s="181" t="s">
        <v>284</v>
      </c>
      <c r="D16" s="174">
        <f t="shared" si="1"/>
        <v>0</v>
      </c>
      <c r="E16" s="158"/>
      <c r="F16" s="152">
        <v>1093</v>
      </c>
      <c r="G16" s="152"/>
      <c r="H16" s="152">
        <v>1268</v>
      </c>
      <c r="I16" s="152">
        <v>1357</v>
      </c>
      <c r="J16" s="152"/>
      <c r="K16" s="179"/>
      <c r="L16" s="182" t="s">
        <v>284</v>
      </c>
      <c r="M16" s="175">
        <f t="shared" si="2"/>
        <v>0</v>
      </c>
      <c r="N16" s="179"/>
      <c r="O16" s="182" t="s">
        <v>284</v>
      </c>
      <c r="P16" s="175">
        <f t="shared" si="3"/>
        <v>0</v>
      </c>
      <c r="Q16" s="179"/>
      <c r="R16" s="182" t="s">
        <v>284</v>
      </c>
      <c r="S16" s="175">
        <f t="shared" si="4"/>
        <v>0</v>
      </c>
      <c r="T16" s="179"/>
      <c r="U16" s="188" t="s">
        <v>284</v>
      </c>
      <c r="V16" s="189">
        <f t="shared" si="5"/>
        <v>0</v>
      </c>
    </row>
    <row r="17" spans="1:22" s="159" customFormat="1" ht="24.75" customHeight="1" hidden="1">
      <c r="A17" s="157" t="s">
        <v>151</v>
      </c>
      <c r="B17" s="177">
        <f t="shared" si="0"/>
        <v>0</v>
      </c>
      <c r="C17" s="181" t="s">
        <v>284</v>
      </c>
      <c r="D17" s="174">
        <f t="shared" si="1"/>
        <v>0</v>
      </c>
      <c r="E17" s="158"/>
      <c r="F17" s="152">
        <v>3261</v>
      </c>
      <c r="G17" s="152"/>
      <c r="H17" s="152">
        <v>3700</v>
      </c>
      <c r="I17" s="152">
        <v>3959</v>
      </c>
      <c r="J17" s="152"/>
      <c r="K17" s="179"/>
      <c r="L17" s="182" t="s">
        <v>284</v>
      </c>
      <c r="M17" s="175">
        <f t="shared" si="2"/>
        <v>0</v>
      </c>
      <c r="N17" s="179"/>
      <c r="O17" s="182" t="s">
        <v>284</v>
      </c>
      <c r="P17" s="175">
        <f t="shared" si="3"/>
        <v>0</v>
      </c>
      <c r="Q17" s="179"/>
      <c r="R17" s="182" t="s">
        <v>284</v>
      </c>
      <c r="S17" s="175">
        <f t="shared" si="4"/>
        <v>0</v>
      </c>
      <c r="T17" s="179"/>
      <c r="U17" s="188" t="s">
        <v>284</v>
      </c>
      <c r="V17" s="189">
        <f t="shared" si="5"/>
        <v>0</v>
      </c>
    </row>
    <row r="18" spans="1:22" s="148" customFormat="1" ht="24.75" customHeight="1">
      <c r="A18" s="150" t="s">
        <v>153</v>
      </c>
      <c r="B18" s="1041">
        <f t="shared" si="0"/>
        <v>32038</v>
      </c>
      <c r="C18" s="1042"/>
      <c r="D18" s="1043"/>
      <c r="E18" s="151"/>
      <c r="F18" s="161">
        <v>6430</v>
      </c>
      <c r="G18" s="161"/>
      <c r="H18" s="161">
        <v>7257</v>
      </c>
      <c r="I18" s="161">
        <v>8100</v>
      </c>
      <c r="J18" s="152">
        <v>6500</v>
      </c>
      <c r="K18" s="1033">
        <v>5700</v>
      </c>
      <c r="L18" s="1034"/>
      <c r="M18" s="1035"/>
      <c r="N18" s="1033">
        <v>6270</v>
      </c>
      <c r="O18" s="1034"/>
      <c r="P18" s="1035"/>
      <c r="Q18" s="1033">
        <v>6717</v>
      </c>
      <c r="R18" s="1034"/>
      <c r="S18" s="1035"/>
      <c r="T18" s="1033">
        <v>6851</v>
      </c>
      <c r="U18" s="1034"/>
      <c r="V18" s="1035"/>
    </row>
    <row r="19" spans="1:22" s="159" customFormat="1" ht="24.75" customHeight="1" hidden="1">
      <c r="A19" s="157" t="s">
        <v>154</v>
      </c>
      <c r="B19" s="177">
        <f>+SUM(J19:T19)</f>
        <v>0</v>
      </c>
      <c r="C19" s="181" t="s">
        <v>284</v>
      </c>
      <c r="D19" s="174">
        <f t="shared" si="1"/>
        <v>0</v>
      </c>
      <c r="E19" s="158"/>
      <c r="F19" s="152">
        <v>250</v>
      </c>
      <c r="G19" s="152"/>
      <c r="H19" s="152">
        <v>257</v>
      </c>
      <c r="I19" s="152">
        <v>260</v>
      </c>
      <c r="J19" s="152"/>
      <c r="K19" s="179"/>
      <c r="L19" s="182" t="s">
        <v>284</v>
      </c>
      <c r="M19" s="175">
        <f t="shared" si="2"/>
        <v>0</v>
      </c>
      <c r="N19" s="179"/>
      <c r="O19" s="182" t="s">
        <v>284</v>
      </c>
      <c r="P19" s="175">
        <f t="shared" si="3"/>
        <v>0</v>
      </c>
      <c r="Q19" s="179"/>
      <c r="R19" s="182" t="s">
        <v>284</v>
      </c>
      <c r="S19" s="175">
        <f t="shared" si="4"/>
        <v>0</v>
      </c>
      <c r="T19" s="179"/>
      <c r="U19" s="188" t="s">
        <v>284</v>
      </c>
      <c r="V19" s="189">
        <f t="shared" si="5"/>
        <v>0</v>
      </c>
    </row>
    <row r="20" spans="1:22" s="159" customFormat="1" ht="24.75" customHeight="1" hidden="1">
      <c r="A20" s="157" t="s">
        <v>155</v>
      </c>
      <c r="B20" s="177">
        <f>+SUM(J20:T20)</f>
        <v>0</v>
      </c>
      <c r="C20" s="181" t="s">
        <v>284</v>
      </c>
      <c r="D20" s="174">
        <f t="shared" si="1"/>
        <v>0</v>
      </c>
      <c r="E20" s="158"/>
      <c r="F20" s="152">
        <v>6180</v>
      </c>
      <c r="G20" s="152"/>
      <c r="H20" s="152">
        <v>7000</v>
      </c>
      <c r="I20" s="152">
        <v>7840</v>
      </c>
      <c r="J20" s="152"/>
      <c r="K20" s="179"/>
      <c r="L20" s="182" t="s">
        <v>284</v>
      </c>
      <c r="M20" s="175">
        <f t="shared" si="2"/>
        <v>0</v>
      </c>
      <c r="N20" s="179"/>
      <c r="O20" s="182" t="s">
        <v>284</v>
      </c>
      <c r="P20" s="175">
        <f t="shared" si="3"/>
        <v>0</v>
      </c>
      <c r="Q20" s="179"/>
      <c r="R20" s="182" t="s">
        <v>284</v>
      </c>
      <c r="S20" s="175">
        <f t="shared" si="4"/>
        <v>0</v>
      </c>
      <c r="T20" s="179"/>
      <c r="U20" s="188" t="s">
        <v>284</v>
      </c>
      <c r="V20" s="189">
        <f t="shared" si="5"/>
        <v>0</v>
      </c>
    </row>
    <row r="21" spans="1:22" s="159" customFormat="1" ht="21.75" customHeight="1">
      <c r="A21" s="157"/>
      <c r="B21" s="177"/>
      <c r="C21" s="181"/>
      <c r="D21" s="174"/>
      <c r="E21" s="158"/>
      <c r="F21" s="152"/>
      <c r="G21" s="152"/>
      <c r="H21" s="152"/>
      <c r="I21" s="152"/>
      <c r="J21" s="152"/>
      <c r="K21" s="179"/>
      <c r="L21" s="182"/>
      <c r="M21" s="175"/>
      <c r="N21" s="179"/>
      <c r="O21" s="182"/>
      <c r="P21" s="175"/>
      <c r="Q21" s="179"/>
      <c r="R21" s="182"/>
      <c r="S21" s="175"/>
      <c r="T21" s="179"/>
      <c r="U21" s="188"/>
      <c r="V21" s="189"/>
    </row>
    <row r="22" spans="1:22" s="148" customFormat="1" ht="24.75" customHeight="1">
      <c r="A22" s="153" t="s">
        <v>156</v>
      </c>
      <c r="B22" s="196" t="e">
        <f aca="true" t="shared" si="6" ref="B22:B39">+J22+K22+N22+Q22+T22</f>
        <v>#REF!</v>
      </c>
      <c r="C22" s="181" t="s">
        <v>284</v>
      </c>
      <c r="D22" s="198" t="e">
        <f t="shared" si="1"/>
        <v>#REF!</v>
      </c>
      <c r="E22" s="154"/>
      <c r="F22" s="161">
        <v>-6992</v>
      </c>
      <c r="G22" s="161"/>
      <c r="H22" s="161">
        <v>-11435</v>
      </c>
      <c r="I22" s="161">
        <v>-10690</v>
      </c>
      <c r="J22" s="152" t="e">
        <f>+J7+J12+J15+J18</f>
        <v>#REF!</v>
      </c>
      <c r="K22" s="194" t="e">
        <f>+K7+K12+K15+K18</f>
        <v>#REF!</v>
      </c>
      <c r="L22" s="182" t="s">
        <v>284</v>
      </c>
      <c r="M22" s="200" t="e">
        <f t="shared" si="2"/>
        <v>#REF!</v>
      </c>
      <c r="N22" s="194" t="e">
        <f>+N7+N12+N15+N18</f>
        <v>#REF!</v>
      </c>
      <c r="O22" s="182" t="s">
        <v>284</v>
      </c>
      <c r="P22" s="200" t="e">
        <f t="shared" si="3"/>
        <v>#REF!</v>
      </c>
      <c r="Q22" s="194" t="e">
        <f>+Q7+Q12+Q15+Q18</f>
        <v>#REF!</v>
      </c>
      <c r="R22" s="182" t="s">
        <v>284</v>
      </c>
      <c r="S22" s="200" t="e">
        <f t="shared" si="4"/>
        <v>#REF!</v>
      </c>
      <c r="T22" s="194" t="e">
        <f>+T7+T12+T15+T18</f>
        <v>#REF!</v>
      </c>
      <c r="U22" s="188" t="s">
        <v>284</v>
      </c>
      <c r="V22" s="200" t="e">
        <f t="shared" si="5"/>
        <v>#REF!</v>
      </c>
    </row>
    <row r="23" spans="1:22" s="159" customFormat="1" ht="19.5" customHeight="1">
      <c r="A23" s="157"/>
      <c r="B23" s="177"/>
      <c r="C23" s="181"/>
      <c r="D23" s="198"/>
      <c r="E23" s="158"/>
      <c r="F23" s="152"/>
      <c r="G23" s="152"/>
      <c r="H23" s="152"/>
      <c r="I23" s="152"/>
      <c r="J23" s="152"/>
      <c r="K23" s="194"/>
      <c r="L23" s="182"/>
      <c r="M23" s="200"/>
      <c r="N23" s="194"/>
      <c r="O23" s="182"/>
      <c r="P23" s="200"/>
      <c r="Q23" s="194"/>
      <c r="R23" s="182"/>
      <c r="S23" s="200"/>
      <c r="T23" s="194"/>
      <c r="U23" s="188"/>
      <c r="V23" s="189"/>
    </row>
    <row r="24" spans="1:22" s="159" customFormat="1" ht="24.75" customHeight="1">
      <c r="A24" s="153" t="s">
        <v>157</v>
      </c>
      <c r="B24" s="196" t="e">
        <f t="shared" si="6"/>
        <v>#REF!</v>
      </c>
      <c r="C24" s="181" t="s">
        <v>284</v>
      </c>
      <c r="D24" s="198" t="e">
        <f t="shared" si="1"/>
        <v>#REF!</v>
      </c>
      <c r="E24" s="158"/>
      <c r="F24" s="152"/>
      <c r="G24" s="152"/>
      <c r="H24" s="152"/>
      <c r="I24" s="152"/>
      <c r="J24" s="152" t="e">
        <f>+J26+J27+J30+J35-3600</f>
        <v>#REF!</v>
      </c>
      <c r="K24" s="194" t="e">
        <f>+K26+K27+K30+K35-3600</f>
        <v>#REF!</v>
      </c>
      <c r="L24" s="182" t="s">
        <v>284</v>
      </c>
      <c r="M24" s="200" t="e">
        <f t="shared" si="2"/>
        <v>#REF!</v>
      </c>
      <c r="N24" s="194" t="e">
        <f>+N26+N27+N30+N35-3600</f>
        <v>#REF!</v>
      </c>
      <c r="O24" s="182" t="s">
        <v>284</v>
      </c>
      <c r="P24" s="200" t="e">
        <f t="shared" si="3"/>
        <v>#REF!</v>
      </c>
      <c r="Q24" s="194" t="e">
        <f>+Q26+Q27+Q30+Q35-3600</f>
        <v>#REF!</v>
      </c>
      <c r="R24" s="182" t="s">
        <v>284</v>
      </c>
      <c r="S24" s="200" t="e">
        <f t="shared" si="4"/>
        <v>#REF!</v>
      </c>
      <c r="T24" s="194" t="e">
        <f>+T26+T27+T30+T35-3600</f>
        <v>#REF!</v>
      </c>
      <c r="U24" s="188" t="s">
        <v>284</v>
      </c>
      <c r="V24" s="200" t="e">
        <f t="shared" si="5"/>
        <v>#REF!</v>
      </c>
    </row>
    <row r="25" spans="1:22" s="159" customFormat="1" ht="21.75" customHeight="1">
      <c r="A25" s="157"/>
      <c r="B25" s="177"/>
      <c r="C25" s="181"/>
      <c r="D25" s="174"/>
      <c r="E25" s="158"/>
      <c r="F25" s="152"/>
      <c r="G25" s="152"/>
      <c r="H25" s="152"/>
      <c r="I25" s="152"/>
      <c r="J25" s="152"/>
      <c r="K25" s="194"/>
      <c r="L25" s="182"/>
      <c r="M25" s="200"/>
      <c r="N25" s="194"/>
      <c r="O25" s="182"/>
      <c r="P25" s="200"/>
      <c r="Q25" s="194"/>
      <c r="R25" s="182"/>
      <c r="S25" s="200"/>
      <c r="T25" s="194"/>
      <c r="U25" s="188"/>
      <c r="V25" s="189"/>
    </row>
    <row r="26" spans="1:22" s="148" customFormat="1" ht="24.75" customHeight="1">
      <c r="A26" s="150" t="s">
        <v>158</v>
      </c>
      <c r="B26" s="196" t="e">
        <f t="shared" si="6"/>
        <v>#REF!</v>
      </c>
      <c r="C26" s="181" t="s">
        <v>284</v>
      </c>
      <c r="D26" s="198" t="e">
        <f t="shared" si="1"/>
        <v>#REF!</v>
      </c>
      <c r="E26" s="151"/>
      <c r="F26" s="161"/>
      <c r="G26" s="161"/>
      <c r="H26" s="161"/>
      <c r="I26" s="161"/>
      <c r="J26" s="152" t="e">
        <f>+#REF!*1000-900</f>
        <v>#REF!</v>
      </c>
      <c r="K26" s="194" t="e">
        <f>+#REF!*1000-1000</f>
        <v>#REF!</v>
      </c>
      <c r="L26" s="182" t="s">
        <v>284</v>
      </c>
      <c r="M26" s="200" t="e">
        <f t="shared" si="2"/>
        <v>#REF!</v>
      </c>
      <c r="N26" s="194" t="e">
        <f>+#REF!*1000-1000</f>
        <v>#REF!</v>
      </c>
      <c r="O26" s="182" t="s">
        <v>284</v>
      </c>
      <c r="P26" s="200" t="e">
        <f t="shared" si="3"/>
        <v>#REF!</v>
      </c>
      <c r="Q26" s="194" t="e">
        <f>+#REF!*1000-1100</f>
        <v>#REF!</v>
      </c>
      <c r="R26" s="182" t="s">
        <v>284</v>
      </c>
      <c r="S26" s="200" t="e">
        <f t="shared" si="4"/>
        <v>#REF!</v>
      </c>
      <c r="T26" s="194" t="e">
        <f>+#REF!*1000-1200</f>
        <v>#REF!</v>
      </c>
      <c r="U26" s="188" t="s">
        <v>284</v>
      </c>
      <c r="V26" s="200" t="e">
        <f t="shared" si="5"/>
        <v>#REF!</v>
      </c>
    </row>
    <row r="27" spans="1:22" s="148" customFormat="1" ht="24.75" customHeight="1">
      <c r="A27" s="150" t="s">
        <v>159</v>
      </c>
      <c r="B27" s="1041">
        <f t="shared" si="6"/>
        <v>13505</v>
      </c>
      <c r="C27" s="1042"/>
      <c r="D27" s="1043"/>
      <c r="E27" s="151"/>
      <c r="F27" s="161">
        <v>2045</v>
      </c>
      <c r="G27" s="161"/>
      <c r="H27" s="161">
        <v>964</v>
      </c>
      <c r="I27" s="161">
        <v>562</v>
      </c>
      <c r="J27" s="152">
        <v>2000</v>
      </c>
      <c r="K27" s="1033">
        <v>2730</v>
      </c>
      <c r="L27" s="1034"/>
      <c r="M27" s="1035"/>
      <c r="N27" s="1033">
        <v>2839</v>
      </c>
      <c r="O27" s="1034"/>
      <c r="P27" s="1035"/>
      <c r="Q27" s="1033">
        <v>2924</v>
      </c>
      <c r="R27" s="1034"/>
      <c r="S27" s="1035"/>
      <c r="T27" s="1033">
        <v>3012</v>
      </c>
      <c r="U27" s="1034"/>
      <c r="V27" s="1035"/>
    </row>
    <row r="28" spans="1:22" s="159" customFormat="1" ht="24.75" customHeight="1" hidden="1">
      <c r="A28" s="157" t="s">
        <v>160</v>
      </c>
      <c r="B28" s="177">
        <f t="shared" si="6"/>
        <v>0</v>
      </c>
      <c r="C28" s="181" t="s">
        <v>284</v>
      </c>
      <c r="D28" s="174">
        <f t="shared" si="1"/>
        <v>0</v>
      </c>
      <c r="E28" s="158"/>
      <c r="F28" s="152">
        <v>3397</v>
      </c>
      <c r="G28" s="152"/>
      <c r="H28" s="152">
        <v>2562</v>
      </c>
      <c r="I28" s="152">
        <v>2639</v>
      </c>
      <c r="J28" s="152"/>
      <c r="K28" s="179"/>
      <c r="L28" s="182" t="s">
        <v>284</v>
      </c>
      <c r="M28" s="175">
        <f t="shared" si="2"/>
        <v>0</v>
      </c>
      <c r="N28" s="179"/>
      <c r="O28" s="182" t="s">
        <v>284</v>
      </c>
      <c r="P28" s="175">
        <f t="shared" si="3"/>
        <v>0</v>
      </c>
      <c r="Q28" s="179"/>
      <c r="R28" s="182" t="s">
        <v>284</v>
      </c>
      <c r="S28" s="175">
        <f t="shared" si="4"/>
        <v>0</v>
      </c>
      <c r="T28" s="179"/>
      <c r="U28" s="188" t="s">
        <v>284</v>
      </c>
      <c r="V28" s="189">
        <f t="shared" si="5"/>
        <v>0</v>
      </c>
    </row>
    <row r="29" spans="1:22" s="159" customFormat="1" ht="24.75" customHeight="1" hidden="1">
      <c r="A29" s="157" t="s">
        <v>161</v>
      </c>
      <c r="B29" s="177">
        <f t="shared" si="6"/>
        <v>0</v>
      </c>
      <c r="C29" s="181" t="s">
        <v>284</v>
      </c>
      <c r="D29" s="174">
        <f t="shared" si="1"/>
        <v>0</v>
      </c>
      <c r="E29" s="158"/>
      <c r="F29" s="152">
        <v>1352</v>
      </c>
      <c r="G29" s="152"/>
      <c r="H29" s="152">
        <v>1598</v>
      </c>
      <c r="I29" s="152">
        <v>2077</v>
      </c>
      <c r="J29" s="152"/>
      <c r="K29" s="179"/>
      <c r="L29" s="182" t="s">
        <v>284</v>
      </c>
      <c r="M29" s="175">
        <f t="shared" si="2"/>
        <v>0</v>
      </c>
      <c r="N29" s="179"/>
      <c r="O29" s="182" t="s">
        <v>284</v>
      </c>
      <c r="P29" s="175">
        <f t="shared" si="3"/>
        <v>0</v>
      </c>
      <c r="Q29" s="179"/>
      <c r="R29" s="182" t="s">
        <v>284</v>
      </c>
      <c r="S29" s="175">
        <f t="shared" si="4"/>
        <v>0</v>
      </c>
      <c r="T29" s="179"/>
      <c r="U29" s="188" t="s">
        <v>284</v>
      </c>
      <c r="V29" s="189">
        <f t="shared" si="5"/>
        <v>0</v>
      </c>
    </row>
    <row r="30" spans="1:22" s="148" customFormat="1" ht="24.75" customHeight="1">
      <c r="A30" s="150" t="s">
        <v>162</v>
      </c>
      <c r="B30" s="1041">
        <f t="shared" si="6"/>
        <v>7900</v>
      </c>
      <c r="C30" s="1042"/>
      <c r="D30" s="1043"/>
      <c r="E30" s="151"/>
      <c r="F30" s="161">
        <v>79</v>
      </c>
      <c r="G30" s="161"/>
      <c r="H30" s="161">
        <v>168</v>
      </c>
      <c r="I30" s="161">
        <v>-575</v>
      </c>
      <c r="J30" s="152">
        <v>800</v>
      </c>
      <c r="K30" s="1033">
        <v>1700</v>
      </c>
      <c r="L30" s="1034"/>
      <c r="M30" s="1035"/>
      <c r="N30" s="1033">
        <v>1900</v>
      </c>
      <c r="O30" s="1034"/>
      <c r="P30" s="1035"/>
      <c r="Q30" s="1033">
        <v>1700</v>
      </c>
      <c r="R30" s="1034"/>
      <c r="S30" s="1035"/>
      <c r="T30" s="1033">
        <v>1800</v>
      </c>
      <c r="U30" s="1034"/>
      <c r="V30" s="1035"/>
    </row>
    <row r="31" spans="1:22" s="159" customFormat="1" ht="24.75" customHeight="1" hidden="1">
      <c r="A31" s="157" t="s">
        <v>160</v>
      </c>
      <c r="B31" s="177">
        <f t="shared" si="6"/>
        <v>0</v>
      </c>
      <c r="C31" s="181" t="s">
        <v>284</v>
      </c>
      <c r="D31" s="174">
        <f t="shared" si="1"/>
        <v>0</v>
      </c>
      <c r="E31" s="158"/>
      <c r="F31" s="152">
        <v>1404</v>
      </c>
      <c r="G31" s="152"/>
      <c r="H31" s="152">
        <v>3360</v>
      </c>
      <c r="I31" s="152">
        <v>3000</v>
      </c>
      <c r="J31" s="152"/>
      <c r="K31" s="179"/>
      <c r="L31" s="182" t="s">
        <v>284</v>
      </c>
      <c r="M31" s="175">
        <f t="shared" si="2"/>
        <v>0</v>
      </c>
      <c r="N31" s="179"/>
      <c r="O31" s="182" t="s">
        <v>284</v>
      </c>
      <c r="P31" s="175">
        <f t="shared" si="3"/>
        <v>0</v>
      </c>
      <c r="Q31" s="179"/>
      <c r="R31" s="182" t="s">
        <v>284</v>
      </c>
      <c r="S31" s="175">
        <f t="shared" si="4"/>
        <v>0</v>
      </c>
      <c r="T31" s="179"/>
      <c r="U31" s="188" t="s">
        <v>284</v>
      </c>
      <c r="V31" s="189">
        <f t="shared" si="5"/>
        <v>0</v>
      </c>
    </row>
    <row r="32" spans="1:22" s="159" customFormat="1" ht="24.75" customHeight="1" hidden="1">
      <c r="A32" s="157" t="s">
        <v>161</v>
      </c>
      <c r="B32" s="177">
        <f t="shared" si="6"/>
        <v>0</v>
      </c>
      <c r="C32" s="181" t="s">
        <v>284</v>
      </c>
      <c r="D32" s="174">
        <f t="shared" si="1"/>
        <v>0</v>
      </c>
      <c r="E32" s="158"/>
      <c r="F32" s="152">
        <v>1325</v>
      </c>
      <c r="G32" s="152"/>
      <c r="H32" s="152">
        <v>3192</v>
      </c>
      <c r="I32" s="152">
        <v>3575</v>
      </c>
      <c r="J32" s="152"/>
      <c r="K32" s="179"/>
      <c r="L32" s="182" t="s">
        <v>284</v>
      </c>
      <c r="M32" s="175">
        <f t="shared" si="2"/>
        <v>0</v>
      </c>
      <c r="N32" s="179"/>
      <c r="O32" s="182" t="s">
        <v>284</v>
      </c>
      <c r="P32" s="175">
        <f t="shared" si="3"/>
        <v>0</v>
      </c>
      <c r="Q32" s="179"/>
      <c r="R32" s="182" t="s">
        <v>284</v>
      </c>
      <c r="S32" s="175">
        <f t="shared" si="4"/>
        <v>0</v>
      </c>
      <c r="T32" s="179"/>
      <c r="U32" s="188" t="s">
        <v>284</v>
      </c>
      <c r="V32" s="189">
        <f t="shared" si="5"/>
        <v>0</v>
      </c>
    </row>
    <row r="33" spans="1:22" s="148" customFormat="1" ht="24.75" customHeight="1" hidden="1">
      <c r="A33" s="150" t="s">
        <v>163</v>
      </c>
      <c r="B33" s="177">
        <f t="shared" si="6"/>
        <v>0</v>
      </c>
      <c r="C33" s="181" t="s">
        <v>284</v>
      </c>
      <c r="D33" s="174">
        <f t="shared" si="1"/>
        <v>0</v>
      </c>
      <c r="E33" s="151"/>
      <c r="F33" s="161">
        <v>6243</v>
      </c>
      <c r="G33" s="161"/>
      <c r="H33" s="161">
        <v>1300</v>
      </c>
      <c r="I33" s="161">
        <v>2000</v>
      </c>
      <c r="J33" s="152"/>
      <c r="K33" s="179"/>
      <c r="L33" s="182" t="s">
        <v>284</v>
      </c>
      <c r="M33" s="175">
        <f t="shared" si="2"/>
        <v>0</v>
      </c>
      <c r="N33" s="179"/>
      <c r="O33" s="182" t="s">
        <v>284</v>
      </c>
      <c r="P33" s="175">
        <f t="shared" si="3"/>
        <v>0</v>
      </c>
      <c r="Q33" s="179"/>
      <c r="R33" s="182" t="s">
        <v>284</v>
      </c>
      <c r="S33" s="175">
        <f t="shared" si="4"/>
        <v>0</v>
      </c>
      <c r="T33" s="179"/>
      <c r="U33" s="188" t="s">
        <v>284</v>
      </c>
      <c r="V33" s="189">
        <f t="shared" si="5"/>
        <v>0</v>
      </c>
    </row>
    <row r="34" spans="1:22" s="148" customFormat="1" ht="24.75" customHeight="1" hidden="1">
      <c r="A34" s="150" t="s">
        <v>164</v>
      </c>
      <c r="B34" s="177">
        <f t="shared" si="6"/>
        <v>0</v>
      </c>
      <c r="C34" s="181" t="s">
        <v>284</v>
      </c>
      <c r="D34" s="174">
        <f t="shared" si="1"/>
        <v>0</v>
      </c>
      <c r="E34" s="151"/>
      <c r="F34" s="161">
        <v>2623</v>
      </c>
      <c r="G34" s="161"/>
      <c r="H34" s="161">
        <v>4800</v>
      </c>
      <c r="I34" s="161">
        <v>2500</v>
      </c>
      <c r="J34" s="152"/>
      <c r="K34" s="179"/>
      <c r="L34" s="182" t="s">
        <v>284</v>
      </c>
      <c r="M34" s="175">
        <f t="shared" si="2"/>
        <v>0</v>
      </c>
      <c r="N34" s="179"/>
      <c r="O34" s="182" t="s">
        <v>284</v>
      </c>
      <c r="P34" s="175">
        <f t="shared" si="3"/>
        <v>0</v>
      </c>
      <c r="Q34" s="179"/>
      <c r="R34" s="182" t="s">
        <v>284</v>
      </c>
      <c r="S34" s="175">
        <f t="shared" si="4"/>
        <v>0</v>
      </c>
      <c r="T34" s="179"/>
      <c r="U34" s="188" t="s">
        <v>284</v>
      </c>
      <c r="V34" s="189">
        <f t="shared" si="5"/>
        <v>0</v>
      </c>
    </row>
    <row r="35" spans="1:22" s="148" customFormat="1" ht="24.75" customHeight="1">
      <c r="A35" s="150" t="s">
        <v>200</v>
      </c>
      <c r="B35" s="1041">
        <f t="shared" si="6"/>
        <v>10400</v>
      </c>
      <c r="C35" s="1042"/>
      <c r="D35" s="1043"/>
      <c r="E35" s="151"/>
      <c r="F35" s="161"/>
      <c r="G35" s="161"/>
      <c r="H35" s="161"/>
      <c r="I35" s="161"/>
      <c r="J35" s="152">
        <v>1200</v>
      </c>
      <c r="K35" s="1033">
        <v>2000</v>
      </c>
      <c r="L35" s="1034"/>
      <c r="M35" s="1035"/>
      <c r="N35" s="1033">
        <v>2200</v>
      </c>
      <c r="O35" s="1034"/>
      <c r="P35" s="1035"/>
      <c r="Q35" s="1033">
        <v>2500</v>
      </c>
      <c r="R35" s="1034"/>
      <c r="S35" s="1035"/>
      <c r="T35" s="1033">
        <v>2500</v>
      </c>
      <c r="U35" s="1034"/>
      <c r="V35" s="1035"/>
    </row>
    <row r="36" spans="1:22" s="159" customFormat="1" ht="15.75" customHeight="1">
      <c r="A36" s="157"/>
      <c r="B36" s="177"/>
      <c r="C36" s="181"/>
      <c r="D36" s="174"/>
      <c r="E36" s="158"/>
      <c r="F36" s="152"/>
      <c r="G36" s="152"/>
      <c r="H36" s="152"/>
      <c r="I36" s="152"/>
      <c r="J36" s="152"/>
      <c r="K36" s="179"/>
      <c r="L36" s="182"/>
      <c r="M36" s="175"/>
      <c r="N36" s="179"/>
      <c r="O36" s="182"/>
      <c r="P36" s="175"/>
      <c r="Q36" s="179"/>
      <c r="R36" s="182"/>
      <c r="S36" s="175"/>
      <c r="T36" s="179"/>
      <c r="U36" s="188"/>
      <c r="V36" s="189"/>
    </row>
    <row r="37" spans="1:22" s="148" customFormat="1" ht="24.75" customHeight="1">
      <c r="A37" s="150" t="s">
        <v>165</v>
      </c>
      <c r="B37" s="1041">
        <f t="shared" si="6"/>
        <v>-12500</v>
      </c>
      <c r="C37" s="1042"/>
      <c r="D37" s="1043"/>
      <c r="E37" s="151"/>
      <c r="F37" s="161">
        <v>-380</v>
      </c>
      <c r="G37" s="161"/>
      <c r="H37" s="161">
        <v>-300</v>
      </c>
      <c r="I37" s="161">
        <v>-300</v>
      </c>
      <c r="J37" s="152">
        <v>-2500</v>
      </c>
      <c r="K37" s="1033">
        <v>-2500</v>
      </c>
      <c r="L37" s="1034"/>
      <c r="M37" s="1035"/>
      <c r="N37" s="1033">
        <v>-2500</v>
      </c>
      <c r="O37" s="1034"/>
      <c r="P37" s="1035"/>
      <c r="Q37" s="1033">
        <v>-2500</v>
      </c>
      <c r="R37" s="1034"/>
      <c r="S37" s="1035"/>
      <c r="T37" s="1033">
        <v>-2500</v>
      </c>
      <c r="U37" s="1034"/>
      <c r="V37" s="1035"/>
    </row>
    <row r="38" spans="1:22" s="159" customFormat="1" ht="15" customHeight="1">
      <c r="A38" s="157"/>
      <c r="B38" s="177"/>
      <c r="C38" s="181"/>
      <c r="D38" s="174"/>
      <c r="E38" s="158"/>
      <c r="F38" s="152"/>
      <c r="G38" s="152"/>
      <c r="H38" s="152"/>
      <c r="I38" s="152"/>
      <c r="J38" s="152"/>
      <c r="K38" s="179"/>
      <c r="L38" s="182"/>
      <c r="M38" s="175"/>
      <c r="N38" s="179"/>
      <c r="O38" s="182"/>
      <c r="P38" s="175"/>
      <c r="Q38" s="179"/>
      <c r="R38" s="182"/>
      <c r="S38" s="175"/>
      <c r="T38" s="179"/>
      <c r="U38" s="188"/>
      <c r="V38" s="189"/>
    </row>
    <row r="39" spans="1:22" s="148" customFormat="1" ht="24.75" customHeight="1">
      <c r="A39" s="168" t="s">
        <v>166</v>
      </c>
      <c r="B39" s="203" t="e">
        <f t="shared" si="6"/>
        <v>#REF!</v>
      </c>
      <c r="C39" s="190" t="s">
        <v>284</v>
      </c>
      <c r="D39" s="202" t="e">
        <f t="shared" si="1"/>
        <v>#REF!</v>
      </c>
      <c r="E39" s="170"/>
      <c r="F39" s="171"/>
      <c r="G39" s="171"/>
      <c r="H39" s="171"/>
      <c r="I39" s="171"/>
      <c r="J39" s="169" t="e">
        <f>+J22+J24+J37</f>
        <v>#REF!</v>
      </c>
      <c r="K39" s="204" t="e">
        <f>+K22+K24+K37</f>
        <v>#REF!</v>
      </c>
      <c r="L39" s="183" t="s">
        <v>284</v>
      </c>
      <c r="M39" s="201" t="e">
        <f t="shared" si="2"/>
        <v>#REF!</v>
      </c>
      <c r="N39" s="204" t="e">
        <f>+N22+N24+N37</f>
        <v>#REF!</v>
      </c>
      <c r="O39" s="183" t="s">
        <v>284</v>
      </c>
      <c r="P39" s="201" t="e">
        <f t="shared" si="3"/>
        <v>#REF!</v>
      </c>
      <c r="Q39" s="204" t="e">
        <f>+Q22+Q24+Q37</f>
        <v>#REF!</v>
      </c>
      <c r="R39" s="183" t="s">
        <v>284</v>
      </c>
      <c r="S39" s="201" t="e">
        <f t="shared" si="4"/>
        <v>#REF!</v>
      </c>
      <c r="T39" s="204" t="e">
        <f>+T22+T24+T37</f>
        <v>#REF!</v>
      </c>
      <c r="U39" s="191" t="s">
        <v>284</v>
      </c>
      <c r="V39" s="201" t="e">
        <f t="shared" si="5"/>
        <v>#REF!</v>
      </c>
    </row>
    <row r="40" spans="1:20" s="172" customFormat="1" ht="36" customHeight="1" hidden="1">
      <c r="A40" s="176" t="s">
        <v>282</v>
      </c>
      <c r="B40" s="176"/>
      <c r="C40" s="176"/>
      <c r="D40" s="176"/>
      <c r="E40" s="176"/>
      <c r="F40" s="176"/>
      <c r="G40" s="176"/>
      <c r="H40" s="176"/>
      <c r="I40" s="176"/>
      <c r="J40" s="185"/>
      <c r="K40" s="176"/>
      <c r="L40" s="186" t="s">
        <v>284</v>
      </c>
      <c r="M40" s="176"/>
      <c r="N40" s="176"/>
      <c r="O40" s="176"/>
      <c r="P40" s="176"/>
      <c r="Q40" s="176"/>
      <c r="R40" s="176"/>
      <c r="S40" s="176"/>
      <c r="T40" s="176"/>
    </row>
    <row r="41" spans="1:20" s="148" customFormat="1" ht="24.75" customHeight="1" hidden="1">
      <c r="A41" s="144" t="s">
        <v>145</v>
      </c>
      <c r="B41" s="145" t="e">
        <f>SUM(J41:T41)</f>
        <v>#REF!</v>
      </c>
      <c r="C41" s="145"/>
      <c r="D41" s="145"/>
      <c r="E41" s="146"/>
      <c r="F41" s="147">
        <f>F42-F43</f>
        <v>-10360</v>
      </c>
      <c r="G41" s="147"/>
      <c r="H41" s="147">
        <f>H42-H43</f>
        <v>-14960</v>
      </c>
      <c r="I41" s="147">
        <f>I42-I43</f>
        <v>-14800</v>
      </c>
      <c r="J41" s="147" t="e">
        <f>+J42-J43</f>
        <v>#REF!</v>
      </c>
      <c r="K41" s="147" t="e">
        <f>+K42-K43</f>
        <v>#REF!</v>
      </c>
      <c r="L41" s="184" t="s">
        <v>284</v>
      </c>
      <c r="M41" s="147"/>
      <c r="N41" s="147" t="e">
        <f>+N42-N43</f>
        <v>#REF!</v>
      </c>
      <c r="O41" s="147"/>
      <c r="P41" s="147"/>
      <c r="Q41" s="147" t="e">
        <f>+Q42-Q43</f>
        <v>#REF!</v>
      </c>
      <c r="R41" s="147"/>
      <c r="S41" s="147"/>
      <c r="T41" s="147" t="e">
        <f>+T42-T43</f>
        <v>#REF!</v>
      </c>
    </row>
    <row r="42" spans="1:20" s="159" customFormat="1" ht="24.75" customHeight="1" hidden="1">
      <c r="A42" s="157" t="s">
        <v>146</v>
      </c>
      <c r="B42" s="149" t="e">
        <f>SUM(J42:T42)</f>
        <v>#REF!</v>
      </c>
      <c r="C42" s="149"/>
      <c r="D42" s="149"/>
      <c r="E42" s="158"/>
      <c r="F42" s="152">
        <v>48561</v>
      </c>
      <c r="G42" s="152"/>
      <c r="H42" s="152">
        <v>64000</v>
      </c>
      <c r="I42" s="152">
        <v>76700</v>
      </c>
      <c r="J42" s="152" t="e">
        <f>+#REF!*1000</f>
        <v>#REF!</v>
      </c>
      <c r="K42" s="152" t="e">
        <f>+#REF!*1000</f>
        <v>#REF!</v>
      </c>
      <c r="L42" s="184" t="s">
        <v>284</v>
      </c>
      <c r="M42" s="152"/>
      <c r="N42" s="152" t="e">
        <f>+#REF!*1000</f>
        <v>#REF!</v>
      </c>
      <c r="O42" s="152"/>
      <c r="P42" s="152"/>
      <c r="Q42" s="152" t="e">
        <f>+#REF!*1000</f>
        <v>#REF!</v>
      </c>
      <c r="R42" s="152"/>
      <c r="S42" s="152"/>
      <c r="T42" s="152" t="e">
        <f>+#REF!*1000</f>
        <v>#REF!</v>
      </c>
    </row>
    <row r="43" spans="1:20" s="159" customFormat="1" ht="24.75" customHeight="1" hidden="1">
      <c r="A43" s="157" t="s">
        <v>147</v>
      </c>
      <c r="B43" s="149" t="e">
        <f>SUM(J43:T43)</f>
        <v>#REF!</v>
      </c>
      <c r="C43" s="149"/>
      <c r="D43" s="149"/>
      <c r="E43" s="158"/>
      <c r="F43" s="152">
        <v>58921</v>
      </c>
      <c r="G43" s="160"/>
      <c r="H43" s="160">
        <v>78960</v>
      </c>
      <c r="I43" s="160">
        <v>91500</v>
      </c>
      <c r="J43" s="152" t="e">
        <f>0.9*J44</f>
        <v>#REF!</v>
      </c>
      <c r="K43" s="152" t="e">
        <f>0.9*K44</f>
        <v>#REF!</v>
      </c>
      <c r="L43" s="184" t="s">
        <v>284</v>
      </c>
      <c r="M43" s="152"/>
      <c r="N43" s="152" t="e">
        <f>0.9*N44</f>
        <v>#REF!</v>
      </c>
      <c r="O43" s="152"/>
      <c r="P43" s="152"/>
      <c r="Q43" s="152" t="e">
        <f>0.9*Q44</f>
        <v>#REF!</v>
      </c>
      <c r="R43" s="152"/>
      <c r="S43" s="152"/>
      <c r="T43" s="152" t="e">
        <f>0.9*T44</f>
        <v>#REF!</v>
      </c>
    </row>
    <row r="44" spans="1:20" s="159" customFormat="1" ht="24.75" customHeight="1" hidden="1">
      <c r="A44" s="157" t="s">
        <v>148</v>
      </c>
      <c r="B44" s="149" t="e">
        <f>SUM(J44:T44)</f>
        <v>#REF!</v>
      </c>
      <c r="C44" s="149"/>
      <c r="D44" s="149"/>
      <c r="E44" s="158"/>
      <c r="F44" s="152">
        <v>62682</v>
      </c>
      <c r="G44" s="160"/>
      <c r="H44" s="160">
        <v>84000</v>
      </c>
      <c r="I44" s="160">
        <v>97400</v>
      </c>
      <c r="J44" s="152" t="e">
        <f>+#REF!*1000</f>
        <v>#REF!</v>
      </c>
      <c r="K44" s="152" t="e">
        <f>+#REF!*1000</f>
        <v>#REF!</v>
      </c>
      <c r="L44" s="184" t="s">
        <v>284</v>
      </c>
      <c r="M44" s="152"/>
      <c r="N44" s="152" t="e">
        <f>+#REF!*1000</f>
        <v>#REF!</v>
      </c>
      <c r="O44" s="152"/>
      <c r="P44" s="152"/>
      <c r="Q44" s="152" t="e">
        <f>+#REF!*1000</f>
        <v>#REF!</v>
      </c>
      <c r="R44" s="152"/>
      <c r="S44" s="152"/>
      <c r="T44" s="152" t="e">
        <f>+#REF!*1000</f>
        <v>#REF!</v>
      </c>
    </row>
    <row r="45" spans="1:20" s="159" customFormat="1" ht="15" customHeight="1" hidden="1">
      <c r="A45" s="157"/>
      <c r="B45" s="158"/>
      <c r="C45" s="158"/>
      <c r="D45" s="158"/>
      <c r="E45" s="158"/>
      <c r="F45" s="152"/>
      <c r="G45" s="152"/>
      <c r="H45" s="152"/>
      <c r="I45" s="152"/>
      <c r="J45" s="152"/>
      <c r="K45" s="152"/>
      <c r="L45" s="184" t="s">
        <v>284</v>
      </c>
      <c r="M45" s="152"/>
      <c r="N45" s="152"/>
      <c r="O45" s="152"/>
      <c r="P45" s="152"/>
      <c r="Q45" s="152"/>
      <c r="R45" s="152"/>
      <c r="S45" s="152"/>
      <c r="T45" s="152"/>
    </row>
    <row r="46" spans="1:20" s="148" customFormat="1" ht="35.25" customHeight="1" hidden="1">
      <c r="A46" s="150" t="s">
        <v>149</v>
      </c>
      <c r="B46" s="149">
        <f>+SUM(J46:T46)</f>
        <v>-11500</v>
      </c>
      <c r="C46" s="149"/>
      <c r="D46" s="149"/>
      <c r="E46" s="151"/>
      <c r="F46" s="161">
        <f>F47-F48</f>
        <v>-894</v>
      </c>
      <c r="G46" s="161"/>
      <c r="H46" s="161">
        <v>-1300</v>
      </c>
      <c r="I46" s="161">
        <v>-1391</v>
      </c>
      <c r="J46" s="152">
        <v>-3000</v>
      </c>
      <c r="K46" s="152">
        <v>-1500</v>
      </c>
      <c r="L46" s="184" t="s">
        <v>284</v>
      </c>
      <c r="M46" s="152"/>
      <c r="N46" s="152">
        <v>-2000</v>
      </c>
      <c r="O46" s="152"/>
      <c r="P46" s="152"/>
      <c r="Q46" s="152">
        <v>-2500</v>
      </c>
      <c r="R46" s="152"/>
      <c r="S46" s="152"/>
      <c r="T46" s="152">
        <v>-2500</v>
      </c>
    </row>
    <row r="47" spans="1:20" s="159" customFormat="1" ht="24.75" customHeight="1" hidden="1">
      <c r="A47" s="157" t="s">
        <v>150</v>
      </c>
      <c r="B47" s="149">
        <f aca="true" t="shared" si="7" ref="B47:B73">+SUM(J47:T47)</f>
        <v>0</v>
      </c>
      <c r="C47" s="149"/>
      <c r="D47" s="149"/>
      <c r="E47" s="158"/>
      <c r="F47" s="152">
        <v>6030</v>
      </c>
      <c r="G47" s="152"/>
      <c r="H47" s="152">
        <v>7055</v>
      </c>
      <c r="I47" s="152">
        <v>7549</v>
      </c>
      <c r="J47" s="152"/>
      <c r="K47" s="152"/>
      <c r="L47" s="184" t="s">
        <v>284</v>
      </c>
      <c r="M47" s="152"/>
      <c r="N47" s="152"/>
      <c r="O47" s="152"/>
      <c r="P47" s="152"/>
      <c r="Q47" s="152"/>
      <c r="R47" s="152"/>
      <c r="S47" s="152"/>
      <c r="T47" s="152"/>
    </row>
    <row r="48" spans="1:20" s="159" customFormat="1" ht="24.75" customHeight="1" hidden="1">
      <c r="A48" s="157" t="s">
        <v>151</v>
      </c>
      <c r="B48" s="149">
        <f t="shared" si="7"/>
        <v>0</v>
      </c>
      <c r="C48" s="149"/>
      <c r="D48" s="149"/>
      <c r="E48" s="158"/>
      <c r="F48" s="152">
        <v>6924</v>
      </c>
      <c r="G48" s="152"/>
      <c r="H48" s="152">
        <v>8355</v>
      </c>
      <c r="I48" s="152">
        <v>8940</v>
      </c>
      <c r="J48" s="152"/>
      <c r="K48" s="152"/>
      <c r="L48" s="184" t="s">
        <v>284</v>
      </c>
      <c r="M48" s="152"/>
      <c r="N48" s="152"/>
      <c r="O48" s="152"/>
      <c r="P48" s="152"/>
      <c r="Q48" s="152"/>
      <c r="R48" s="152"/>
      <c r="S48" s="152"/>
      <c r="T48" s="152"/>
    </row>
    <row r="49" spans="1:20" s="148" customFormat="1" ht="33.75" customHeight="1" hidden="1">
      <c r="A49" s="150" t="s">
        <v>152</v>
      </c>
      <c r="B49" s="149">
        <f t="shared" si="7"/>
        <v>-34086</v>
      </c>
      <c r="C49" s="149"/>
      <c r="D49" s="149"/>
      <c r="E49" s="151"/>
      <c r="F49" s="161">
        <f>F50-F51</f>
        <v>-2168</v>
      </c>
      <c r="G49" s="161"/>
      <c r="H49" s="161">
        <f>H50-H51</f>
        <v>-2432</v>
      </c>
      <c r="I49" s="161">
        <f>I50-I51</f>
        <v>-2602</v>
      </c>
      <c r="J49" s="152">
        <v>-5124</v>
      </c>
      <c r="K49" s="152">
        <v>-6950</v>
      </c>
      <c r="L49" s="184" t="s">
        <v>284</v>
      </c>
      <c r="M49" s="152"/>
      <c r="N49" s="152">
        <v>-6452</v>
      </c>
      <c r="O49" s="152"/>
      <c r="P49" s="152"/>
      <c r="Q49" s="152">
        <v>-7109</v>
      </c>
      <c r="R49" s="152"/>
      <c r="S49" s="152"/>
      <c r="T49" s="152">
        <v>-8451</v>
      </c>
    </row>
    <row r="50" spans="1:20" s="159" customFormat="1" ht="24.75" customHeight="1" hidden="1">
      <c r="A50" s="157" t="s">
        <v>150</v>
      </c>
      <c r="B50" s="149">
        <f t="shared" si="7"/>
        <v>0</v>
      </c>
      <c r="C50" s="149"/>
      <c r="D50" s="149"/>
      <c r="E50" s="158"/>
      <c r="F50" s="152">
        <v>1093</v>
      </c>
      <c r="G50" s="152"/>
      <c r="H50" s="152">
        <v>1268</v>
      </c>
      <c r="I50" s="152">
        <v>1357</v>
      </c>
      <c r="J50" s="152"/>
      <c r="K50" s="152"/>
      <c r="L50" s="184" t="s">
        <v>284</v>
      </c>
      <c r="M50" s="152"/>
      <c r="N50" s="152"/>
      <c r="O50" s="152"/>
      <c r="P50" s="152"/>
      <c r="Q50" s="152"/>
      <c r="R50" s="152"/>
      <c r="S50" s="152"/>
      <c r="T50" s="152"/>
    </row>
    <row r="51" spans="1:20" s="159" customFormat="1" ht="24.75" customHeight="1" hidden="1">
      <c r="A51" s="157" t="s">
        <v>151</v>
      </c>
      <c r="B51" s="149">
        <f t="shared" si="7"/>
        <v>0</v>
      </c>
      <c r="C51" s="149"/>
      <c r="D51" s="149"/>
      <c r="E51" s="158"/>
      <c r="F51" s="152">
        <v>3261</v>
      </c>
      <c r="G51" s="152"/>
      <c r="H51" s="152">
        <v>3700</v>
      </c>
      <c r="I51" s="152">
        <v>3959</v>
      </c>
      <c r="J51" s="152"/>
      <c r="K51" s="152"/>
      <c r="L51" s="184" t="s">
        <v>284</v>
      </c>
      <c r="M51" s="152"/>
      <c r="N51" s="152"/>
      <c r="O51" s="152"/>
      <c r="P51" s="152"/>
      <c r="Q51" s="152"/>
      <c r="R51" s="152"/>
      <c r="S51" s="152"/>
      <c r="T51" s="152"/>
    </row>
    <row r="52" spans="1:20" s="148" customFormat="1" ht="32.25" customHeight="1" hidden="1">
      <c r="A52" s="150" t="s">
        <v>153</v>
      </c>
      <c r="B52" s="149">
        <f t="shared" si="7"/>
        <v>32038</v>
      </c>
      <c r="C52" s="149"/>
      <c r="D52" s="149"/>
      <c r="E52" s="151"/>
      <c r="F52" s="161">
        <v>6430</v>
      </c>
      <c r="G52" s="161"/>
      <c r="H52" s="161">
        <v>7257</v>
      </c>
      <c r="I52" s="161">
        <v>8100</v>
      </c>
      <c r="J52" s="152">
        <v>6500</v>
      </c>
      <c r="K52" s="152">
        <v>5700</v>
      </c>
      <c r="L52" s="184" t="s">
        <v>284</v>
      </c>
      <c r="M52" s="152"/>
      <c r="N52" s="152">
        <v>6270</v>
      </c>
      <c r="O52" s="152"/>
      <c r="P52" s="152"/>
      <c r="Q52" s="152">
        <v>6717</v>
      </c>
      <c r="R52" s="152"/>
      <c r="S52" s="152"/>
      <c r="T52" s="152">
        <v>6851</v>
      </c>
    </row>
    <row r="53" spans="1:20" s="159" customFormat="1" ht="24.75" customHeight="1" hidden="1">
      <c r="A53" s="157" t="s">
        <v>154</v>
      </c>
      <c r="B53" s="149">
        <f t="shared" si="7"/>
        <v>0</v>
      </c>
      <c r="C53" s="149"/>
      <c r="D53" s="149"/>
      <c r="E53" s="158"/>
      <c r="F53" s="152">
        <v>250</v>
      </c>
      <c r="G53" s="152"/>
      <c r="H53" s="152">
        <v>257</v>
      </c>
      <c r="I53" s="152">
        <v>260</v>
      </c>
      <c r="J53" s="152"/>
      <c r="K53" s="152"/>
      <c r="L53" s="184" t="s">
        <v>284</v>
      </c>
      <c r="M53" s="152"/>
      <c r="N53" s="152"/>
      <c r="O53" s="152"/>
      <c r="P53" s="152"/>
      <c r="Q53" s="152"/>
      <c r="R53" s="152"/>
      <c r="S53" s="152"/>
      <c r="T53" s="152"/>
    </row>
    <row r="54" spans="1:20" s="159" customFormat="1" ht="24.75" customHeight="1" hidden="1">
      <c r="A54" s="157" t="s">
        <v>155</v>
      </c>
      <c r="B54" s="149">
        <f t="shared" si="7"/>
        <v>0</v>
      </c>
      <c r="C54" s="149"/>
      <c r="D54" s="149"/>
      <c r="E54" s="158"/>
      <c r="F54" s="152">
        <v>6180</v>
      </c>
      <c r="G54" s="152"/>
      <c r="H54" s="152">
        <v>7000</v>
      </c>
      <c r="I54" s="152">
        <v>7840</v>
      </c>
      <c r="J54" s="152"/>
      <c r="K54" s="152"/>
      <c r="L54" s="184" t="s">
        <v>284</v>
      </c>
      <c r="M54" s="152"/>
      <c r="N54" s="152"/>
      <c r="O54" s="152"/>
      <c r="P54" s="152"/>
      <c r="Q54" s="152"/>
      <c r="R54" s="152"/>
      <c r="S54" s="152"/>
      <c r="T54" s="152"/>
    </row>
    <row r="55" spans="1:20" s="159" customFormat="1" ht="12" customHeight="1" hidden="1">
      <c r="A55" s="157"/>
      <c r="B55" s="149"/>
      <c r="C55" s="149"/>
      <c r="D55" s="149"/>
      <c r="E55" s="158"/>
      <c r="F55" s="152"/>
      <c r="G55" s="152"/>
      <c r="H55" s="152"/>
      <c r="I55" s="152"/>
      <c r="J55" s="152"/>
      <c r="K55" s="152"/>
      <c r="L55" s="184" t="s">
        <v>284</v>
      </c>
      <c r="M55" s="152"/>
      <c r="N55" s="152"/>
      <c r="O55" s="152"/>
      <c r="P55" s="152"/>
      <c r="Q55" s="152"/>
      <c r="R55" s="152"/>
      <c r="S55" s="152"/>
      <c r="T55" s="152"/>
    </row>
    <row r="56" spans="1:20" s="148" customFormat="1" ht="24.75" customHeight="1" hidden="1">
      <c r="A56" s="153" t="s">
        <v>156</v>
      </c>
      <c r="B56" s="149" t="e">
        <f t="shared" si="7"/>
        <v>#REF!</v>
      </c>
      <c r="C56" s="149"/>
      <c r="D56" s="149"/>
      <c r="E56" s="154"/>
      <c r="F56" s="161">
        <v>-6992</v>
      </c>
      <c r="G56" s="161"/>
      <c r="H56" s="161">
        <v>-11435</v>
      </c>
      <c r="I56" s="161">
        <v>-10690</v>
      </c>
      <c r="J56" s="152" t="e">
        <f>+J41+J46+J49+J52</f>
        <v>#REF!</v>
      </c>
      <c r="K56" s="152" t="e">
        <f>+K41+K46+K49+K52</f>
        <v>#REF!</v>
      </c>
      <c r="L56" s="184" t="s">
        <v>284</v>
      </c>
      <c r="M56" s="152"/>
      <c r="N56" s="152" t="e">
        <f>+N41+N46+N49+N52</f>
        <v>#REF!</v>
      </c>
      <c r="O56" s="152"/>
      <c r="P56" s="152"/>
      <c r="Q56" s="152" t="e">
        <f>+Q41+Q46+Q49+Q52</f>
        <v>#REF!</v>
      </c>
      <c r="R56" s="152"/>
      <c r="S56" s="152"/>
      <c r="T56" s="152" t="e">
        <f>+T41+T46+T49+T52</f>
        <v>#REF!</v>
      </c>
    </row>
    <row r="57" spans="1:20" s="159" customFormat="1" ht="12.75" customHeight="1" hidden="1">
      <c r="A57" s="157"/>
      <c r="B57" s="149"/>
      <c r="C57" s="149"/>
      <c r="D57" s="149"/>
      <c r="E57" s="158"/>
      <c r="F57" s="152"/>
      <c r="G57" s="152"/>
      <c r="H57" s="152"/>
      <c r="I57" s="152"/>
      <c r="J57" s="152"/>
      <c r="K57" s="152"/>
      <c r="L57" s="184" t="s">
        <v>284</v>
      </c>
      <c r="M57" s="152"/>
      <c r="N57" s="152"/>
      <c r="O57" s="152"/>
      <c r="P57" s="152"/>
      <c r="Q57" s="152"/>
      <c r="R57" s="152"/>
      <c r="S57" s="152"/>
      <c r="T57" s="152"/>
    </row>
    <row r="58" spans="1:20" s="159" customFormat="1" ht="24.75" customHeight="1" hidden="1">
      <c r="A58" s="153" t="s">
        <v>157</v>
      </c>
      <c r="B58" s="149" t="e">
        <f t="shared" si="7"/>
        <v>#REF!</v>
      </c>
      <c r="C58" s="149"/>
      <c r="D58" s="149"/>
      <c r="E58" s="158"/>
      <c r="F58" s="152"/>
      <c r="G58" s="152"/>
      <c r="H58" s="152"/>
      <c r="I58" s="152"/>
      <c r="J58" s="152" t="e">
        <f>+J60+J61+J64+J69-3600</f>
        <v>#REF!</v>
      </c>
      <c r="K58" s="152" t="e">
        <f>+K60+K61+K64+K69-3600</f>
        <v>#REF!</v>
      </c>
      <c r="L58" s="184" t="s">
        <v>284</v>
      </c>
      <c r="M58" s="152"/>
      <c r="N58" s="152" t="e">
        <f>+N60+N61+N64+N69-3600</f>
        <v>#REF!</v>
      </c>
      <c r="O58" s="152"/>
      <c r="P58" s="152"/>
      <c r="Q58" s="152" t="e">
        <f>+Q60+Q61+Q64+Q69-3600</f>
        <v>#REF!</v>
      </c>
      <c r="R58" s="152"/>
      <c r="S58" s="152"/>
      <c r="T58" s="152" t="e">
        <f>+T60+T61+T64+T69-3600</f>
        <v>#REF!</v>
      </c>
    </row>
    <row r="59" spans="1:20" s="159" customFormat="1" ht="15.75" customHeight="1" hidden="1">
      <c r="A59" s="157"/>
      <c r="B59" s="149"/>
      <c r="C59" s="149"/>
      <c r="D59" s="149"/>
      <c r="E59" s="158"/>
      <c r="F59" s="152"/>
      <c r="G59" s="152"/>
      <c r="H59" s="152"/>
      <c r="I59" s="152"/>
      <c r="J59" s="152"/>
      <c r="K59" s="152"/>
      <c r="L59" s="184" t="s">
        <v>284</v>
      </c>
      <c r="M59" s="152"/>
      <c r="N59" s="152"/>
      <c r="O59" s="152"/>
      <c r="P59" s="152"/>
      <c r="Q59" s="152"/>
      <c r="R59" s="152"/>
      <c r="S59" s="152"/>
      <c r="T59" s="152"/>
    </row>
    <row r="60" spans="1:20" s="148" customFormat="1" ht="24.75" customHeight="1" hidden="1">
      <c r="A60" s="150" t="s">
        <v>158</v>
      </c>
      <c r="B60" s="152" t="e">
        <f t="shared" si="7"/>
        <v>#REF!</v>
      </c>
      <c r="C60" s="152"/>
      <c r="D60" s="152"/>
      <c r="E60" s="151"/>
      <c r="F60" s="161"/>
      <c r="G60" s="161"/>
      <c r="H60" s="161"/>
      <c r="I60" s="161"/>
      <c r="J60" s="152" t="e">
        <f>+#REF!*1000-900</f>
        <v>#REF!</v>
      </c>
      <c r="K60" s="152" t="e">
        <f>+#REF!*1000-100</f>
        <v>#REF!</v>
      </c>
      <c r="L60" s="184" t="s">
        <v>284</v>
      </c>
      <c r="M60" s="152"/>
      <c r="N60" s="152" t="e">
        <f>+#REF!*1000-1000</f>
        <v>#REF!</v>
      </c>
      <c r="O60" s="152"/>
      <c r="P60" s="152"/>
      <c r="Q60" s="152" t="e">
        <f>+#REF!*1000-1100</f>
        <v>#REF!</v>
      </c>
      <c r="R60" s="152"/>
      <c r="S60" s="152"/>
      <c r="T60" s="152" t="e">
        <f>+#REF!*1000-1200</f>
        <v>#REF!</v>
      </c>
    </row>
    <row r="61" spans="1:20" s="148" customFormat="1" ht="24.75" customHeight="1" hidden="1">
      <c r="A61" s="150" t="s">
        <v>159</v>
      </c>
      <c r="B61" s="149">
        <f t="shared" si="7"/>
        <v>13505</v>
      </c>
      <c r="C61" s="149"/>
      <c r="D61" s="149"/>
      <c r="E61" s="151"/>
      <c r="F61" s="161">
        <v>2045</v>
      </c>
      <c r="G61" s="161"/>
      <c r="H61" s="161">
        <v>964</v>
      </c>
      <c r="I61" s="161">
        <v>562</v>
      </c>
      <c r="J61" s="152">
        <v>2000</v>
      </c>
      <c r="K61" s="152">
        <v>2730</v>
      </c>
      <c r="L61" s="184" t="s">
        <v>284</v>
      </c>
      <c r="M61" s="152"/>
      <c r="N61" s="152">
        <v>2839</v>
      </c>
      <c r="O61" s="152"/>
      <c r="P61" s="152"/>
      <c r="Q61" s="152">
        <v>2924</v>
      </c>
      <c r="R61" s="152"/>
      <c r="S61" s="152"/>
      <c r="T61" s="152">
        <v>3012</v>
      </c>
    </row>
    <row r="62" spans="1:20" s="159" customFormat="1" ht="24.75" customHeight="1" hidden="1">
      <c r="A62" s="157" t="s">
        <v>160</v>
      </c>
      <c r="B62" s="149">
        <f t="shared" si="7"/>
        <v>0</v>
      </c>
      <c r="C62" s="149"/>
      <c r="D62" s="149"/>
      <c r="E62" s="158"/>
      <c r="F62" s="152">
        <v>3397</v>
      </c>
      <c r="G62" s="152"/>
      <c r="H62" s="152">
        <v>2562</v>
      </c>
      <c r="I62" s="152">
        <v>2639</v>
      </c>
      <c r="J62" s="152"/>
      <c r="K62" s="152"/>
      <c r="L62" s="184" t="s">
        <v>284</v>
      </c>
      <c r="M62" s="152"/>
      <c r="N62" s="152"/>
      <c r="O62" s="152"/>
      <c r="P62" s="152"/>
      <c r="Q62" s="152"/>
      <c r="R62" s="152"/>
      <c r="S62" s="152"/>
      <c r="T62" s="152"/>
    </row>
    <row r="63" spans="1:20" s="159" customFormat="1" ht="24.75" customHeight="1" hidden="1">
      <c r="A63" s="157" t="s">
        <v>161</v>
      </c>
      <c r="B63" s="149">
        <f t="shared" si="7"/>
        <v>0</v>
      </c>
      <c r="C63" s="149"/>
      <c r="D63" s="149"/>
      <c r="E63" s="158"/>
      <c r="F63" s="152">
        <v>1352</v>
      </c>
      <c r="G63" s="152"/>
      <c r="H63" s="152">
        <v>1598</v>
      </c>
      <c r="I63" s="152">
        <v>2077</v>
      </c>
      <c r="J63" s="152"/>
      <c r="K63" s="152"/>
      <c r="L63" s="184" t="s">
        <v>284</v>
      </c>
      <c r="M63" s="152"/>
      <c r="N63" s="152"/>
      <c r="O63" s="152"/>
      <c r="P63" s="152"/>
      <c r="Q63" s="152"/>
      <c r="R63" s="152"/>
      <c r="S63" s="152"/>
      <c r="T63" s="152"/>
    </row>
    <row r="64" spans="1:20" s="148" customFormat="1" ht="24.75" customHeight="1" hidden="1">
      <c r="A64" s="150" t="s">
        <v>162</v>
      </c>
      <c r="B64" s="149">
        <f t="shared" si="7"/>
        <v>7900</v>
      </c>
      <c r="C64" s="149"/>
      <c r="D64" s="149"/>
      <c r="E64" s="151"/>
      <c r="F64" s="161">
        <v>79</v>
      </c>
      <c r="G64" s="161"/>
      <c r="H64" s="161">
        <v>168</v>
      </c>
      <c r="I64" s="161">
        <v>-575</v>
      </c>
      <c r="J64" s="152">
        <v>800</v>
      </c>
      <c r="K64" s="152">
        <v>1700</v>
      </c>
      <c r="L64" s="184" t="s">
        <v>284</v>
      </c>
      <c r="M64" s="152"/>
      <c r="N64" s="152">
        <v>1900</v>
      </c>
      <c r="O64" s="152"/>
      <c r="P64" s="152"/>
      <c r="Q64" s="152">
        <v>1700</v>
      </c>
      <c r="R64" s="152"/>
      <c r="S64" s="152"/>
      <c r="T64" s="152">
        <v>1800</v>
      </c>
    </row>
    <row r="65" spans="1:20" s="159" customFormat="1" ht="24.75" customHeight="1" hidden="1">
      <c r="A65" s="157" t="s">
        <v>160</v>
      </c>
      <c r="B65" s="149">
        <f t="shared" si="7"/>
        <v>0</v>
      </c>
      <c r="C65" s="149"/>
      <c r="D65" s="149"/>
      <c r="E65" s="158"/>
      <c r="F65" s="152">
        <v>1404</v>
      </c>
      <c r="G65" s="152"/>
      <c r="H65" s="152">
        <v>3360</v>
      </c>
      <c r="I65" s="152">
        <v>3000</v>
      </c>
      <c r="J65" s="152"/>
      <c r="K65" s="152"/>
      <c r="L65" s="184" t="s">
        <v>284</v>
      </c>
      <c r="M65" s="152"/>
      <c r="N65" s="152"/>
      <c r="O65" s="152"/>
      <c r="P65" s="152"/>
      <c r="Q65" s="152"/>
      <c r="R65" s="152"/>
      <c r="S65" s="152"/>
      <c r="T65" s="152"/>
    </row>
    <row r="66" spans="1:20" s="159" customFormat="1" ht="24.75" customHeight="1" hidden="1">
      <c r="A66" s="157" t="s">
        <v>161</v>
      </c>
      <c r="B66" s="149">
        <f t="shared" si="7"/>
        <v>0</v>
      </c>
      <c r="C66" s="149"/>
      <c r="D66" s="149"/>
      <c r="E66" s="158"/>
      <c r="F66" s="152">
        <v>1325</v>
      </c>
      <c r="G66" s="152"/>
      <c r="H66" s="152">
        <v>3192</v>
      </c>
      <c r="I66" s="152">
        <v>3575</v>
      </c>
      <c r="J66" s="152"/>
      <c r="K66" s="152"/>
      <c r="L66" s="184" t="s">
        <v>284</v>
      </c>
      <c r="M66" s="152"/>
      <c r="N66" s="152"/>
      <c r="O66" s="152"/>
      <c r="P66" s="152"/>
      <c r="Q66" s="152"/>
      <c r="R66" s="152"/>
      <c r="S66" s="152"/>
      <c r="T66" s="152"/>
    </row>
    <row r="67" spans="1:20" s="148" customFormat="1" ht="24.75" customHeight="1" hidden="1">
      <c r="A67" s="150" t="s">
        <v>163</v>
      </c>
      <c r="B67" s="149">
        <f t="shared" si="7"/>
        <v>0</v>
      </c>
      <c r="C67" s="149"/>
      <c r="D67" s="149"/>
      <c r="E67" s="151"/>
      <c r="F67" s="161">
        <v>6243</v>
      </c>
      <c r="G67" s="161"/>
      <c r="H67" s="161">
        <v>1300</v>
      </c>
      <c r="I67" s="161">
        <v>2000</v>
      </c>
      <c r="J67" s="152"/>
      <c r="K67" s="152"/>
      <c r="L67" s="184" t="s">
        <v>284</v>
      </c>
      <c r="M67" s="152"/>
      <c r="N67" s="152"/>
      <c r="O67" s="152"/>
      <c r="P67" s="152"/>
      <c r="Q67" s="152"/>
      <c r="R67" s="152"/>
      <c r="S67" s="152"/>
      <c r="T67" s="152"/>
    </row>
    <row r="68" spans="1:20" s="148" customFormat="1" ht="24.75" customHeight="1" hidden="1">
      <c r="A68" s="150" t="s">
        <v>164</v>
      </c>
      <c r="B68" s="149">
        <f t="shared" si="7"/>
        <v>0</v>
      </c>
      <c r="C68" s="149"/>
      <c r="D68" s="149"/>
      <c r="E68" s="151"/>
      <c r="F68" s="161">
        <v>2623</v>
      </c>
      <c r="G68" s="161"/>
      <c r="H68" s="161">
        <v>4800</v>
      </c>
      <c r="I68" s="161">
        <v>2500</v>
      </c>
      <c r="J68" s="152"/>
      <c r="K68" s="152"/>
      <c r="L68" s="184" t="s">
        <v>284</v>
      </c>
      <c r="M68" s="152"/>
      <c r="N68" s="152"/>
      <c r="O68" s="152"/>
      <c r="P68" s="152"/>
      <c r="Q68" s="152"/>
      <c r="R68" s="152"/>
      <c r="S68" s="152"/>
      <c r="T68" s="152"/>
    </row>
    <row r="69" spans="1:20" s="148" customFormat="1" ht="24.75" customHeight="1" hidden="1">
      <c r="A69" s="150" t="s">
        <v>200</v>
      </c>
      <c r="B69" s="149">
        <f t="shared" si="7"/>
        <v>10400</v>
      </c>
      <c r="C69" s="149"/>
      <c r="D69" s="149"/>
      <c r="E69" s="151"/>
      <c r="F69" s="161"/>
      <c r="G69" s="161"/>
      <c r="H69" s="161"/>
      <c r="I69" s="161"/>
      <c r="J69" s="152">
        <v>1200</v>
      </c>
      <c r="K69" s="152">
        <v>2000</v>
      </c>
      <c r="L69" s="184" t="s">
        <v>284</v>
      </c>
      <c r="M69" s="152"/>
      <c r="N69" s="152">
        <v>2200</v>
      </c>
      <c r="O69" s="152"/>
      <c r="P69" s="152"/>
      <c r="Q69" s="152">
        <v>2500</v>
      </c>
      <c r="R69" s="152"/>
      <c r="S69" s="152"/>
      <c r="T69" s="152">
        <v>2500</v>
      </c>
    </row>
    <row r="70" spans="1:20" s="159" customFormat="1" ht="15.75" customHeight="1" hidden="1">
      <c r="A70" s="157"/>
      <c r="B70" s="149"/>
      <c r="C70" s="149"/>
      <c r="D70" s="149"/>
      <c r="E70" s="158"/>
      <c r="F70" s="152"/>
      <c r="G70" s="152"/>
      <c r="H70" s="152"/>
      <c r="I70" s="152"/>
      <c r="J70" s="152"/>
      <c r="K70" s="152"/>
      <c r="L70" s="184" t="s">
        <v>284</v>
      </c>
      <c r="M70" s="152"/>
      <c r="N70" s="152"/>
      <c r="O70" s="152"/>
      <c r="P70" s="152"/>
      <c r="Q70" s="152"/>
      <c r="R70" s="152"/>
      <c r="S70" s="152"/>
      <c r="T70" s="152"/>
    </row>
    <row r="71" spans="1:20" s="148" customFormat="1" ht="24.75" customHeight="1" hidden="1">
      <c r="A71" s="150" t="s">
        <v>165</v>
      </c>
      <c r="B71" s="149">
        <f t="shared" si="7"/>
        <v>-12500</v>
      </c>
      <c r="C71" s="149"/>
      <c r="D71" s="149"/>
      <c r="E71" s="151"/>
      <c r="F71" s="161">
        <v>-380</v>
      </c>
      <c r="G71" s="161"/>
      <c r="H71" s="161">
        <v>-300</v>
      </c>
      <c r="I71" s="161">
        <v>-300</v>
      </c>
      <c r="J71" s="152">
        <v>-2500</v>
      </c>
      <c r="K71" s="152">
        <v>-2500</v>
      </c>
      <c r="L71" s="184" t="s">
        <v>284</v>
      </c>
      <c r="M71" s="152"/>
      <c r="N71" s="152">
        <v>-2500</v>
      </c>
      <c r="O71" s="152"/>
      <c r="P71" s="152"/>
      <c r="Q71" s="152">
        <v>-2500</v>
      </c>
      <c r="R71" s="152"/>
      <c r="S71" s="152"/>
      <c r="T71" s="152">
        <v>-2500</v>
      </c>
    </row>
    <row r="72" spans="1:20" s="159" customFormat="1" ht="15" customHeight="1" hidden="1">
      <c r="A72" s="157"/>
      <c r="B72" s="149"/>
      <c r="C72" s="149"/>
      <c r="D72" s="149"/>
      <c r="E72" s="158"/>
      <c r="F72" s="152"/>
      <c r="G72" s="152"/>
      <c r="H72" s="152"/>
      <c r="I72" s="152"/>
      <c r="J72" s="152"/>
      <c r="K72" s="152"/>
      <c r="L72" s="184" t="s">
        <v>284</v>
      </c>
      <c r="M72" s="152"/>
      <c r="N72" s="152"/>
      <c r="O72" s="152"/>
      <c r="P72" s="152"/>
      <c r="Q72" s="152"/>
      <c r="R72" s="152"/>
      <c r="S72" s="152"/>
      <c r="T72" s="152"/>
    </row>
    <row r="73" spans="1:20" s="148" customFormat="1" ht="24.75" customHeight="1" hidden="1">
      <c r="A73" s="153" t="s">
        <v>166</v>
      </c>
      <c r="B73" s="152" t="e">
        <f t="shared" si="7"/>
        <v>#REF!</v>
      </c>
      <c r="C73" s="152"/>
      <c r="D73" s="152"/>
      <c r="E73" s="151"/>
      <c r="F73" s="161"/>
      <c r="G73" s="161"/>
      <c r="H73" s="161"/>
      <c r="I73" s="161"/>
      <c r="J73" s="152" t="e">
        <f>+J56+J58+J71</f>
        <v>#REF!</v>
      </c>
      <c r="K73" s="152" t="e">
        <f>+K56+K58+K71</f>
        <v>#REF!</v>
      </c>
      <c r="L73" s="184" t="s">
        <v>284</v>
      </c>
      <c r="M73" s="152"/>
      <c r="N73" s="152" t="e">
        <f>+N56+N58+N71</f>
        <v>#REF!</v>
      </c>
      <c r="O73" s="152"/>
      <c r="P73" s="152"/>
      <c r="Q73" s="152" t="e">
        <f>+Q56+Q58+Q71</f>
        <v>#REF!</v>
      </c>
      <c r="R73" s="152"/>
      <c r="S73" s="152"/>
      <c r="T73" s="152" t="e">
        <f>+T56+T58+T71</f>
        <v>#REF!</v>
      </c>
    </row>
    <row r="74" spans="1:20" ht="16.5" hidden="1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84" t="s">
        <v>284</v>
      </c>
      <c r="M74" s="162"/>
      <c r="N74" s="162"/>
      <c r="O74" s="162"/>
      <c r="P74" s="162"/>
      <c r="Q74" s="162"/>
      <c r="R74" s="162"/>
      <c r="S74" s="162"/>
      <c r="T74" s="162"/>
    </row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28" ht="16.5"/>
    <row r="129" ht="16.5"/>
  </sheetData>
  <sheetProtection/>
  <mergeCells count="44">
    <mergeCell ref="T27:V27"/>
    <mergeCell ref="K18:M18"/>
    <mergeCell ref="Q18:S18"/>
    <mergeCell ref="T30:V30"/>
    <mergeCell ref="T35:V35"/>
    <mergeCell ref="N30:P30"/>
    <mergeCell ref="N35:P35"/>
    <mergeCell ref="Q30:S30"/>
    <mergeCell ref="Q35:S35"/>
    <mergeCell ref="T12:V12"/>
    <mergeCell ref="T15:V15"/>
    <mergeCell ref="N18:P18"/>
    <mergeCell ref="Q12:S12"/>
    <mergeCell ref="Q15:S15"/>
    <mergeCell ref="T18:V18"/>
    <mergeCell ref="Q37:S37"/>
    <mergeCell ref="B30:D30"/>
    <mergeCell ref="B35:D35"/>
    <mergeCell ref="K30:M30"/>
    <mergeCell ref="K35:M35"/>
    <mergeCell ref="B27:D27"/>
    <mergeCell ref="K27:M27"/>
    <mergeCell ref="N27:P27"/>
    <mergeCell ref="Q27:S27"/>
    <mergeCell ref="Q5:S5"/>
    <mergeCell ref="B37:D37"/>
    <mergeCell ref="T37:V37"/>
    <mergeCell ref="B12:D12"/>
    <mergeCell ref="B15:D15"/>
    <mergeCell ref="B18:D18"/>
    <mergeCell ref="K12:M12"/>
    <mergeCell ref="K15:M15"/>
    <mergeCell ref="K37:M37"/>
    <mergeCell ref="N37:P37"/>
    <mergeCell ref="H3:I3"/>
    <mergeCell ref="N12:P12"/>
    <mergeCell ref="N15:P15"/>
    <mergeCell ref="H1:I1"/>
    <mergeCell ref="H4:T4"/>
    <mergeCell ref="A2:T2"/>
    <mergeCell ref="T5:V5"/>
    <mergeCell ref="B5:D5"/>
    <mergeCell ref="K5:M5"/>
    <mergeCell ref="N5:P5"/>
  </mergeCells>
  <printOptions horizontalCentered="1"/>
  <pageMargins left="0.35433070866141736" right="0.35433070866141736" top="1.2" bottom="1.05" header="0.5118110236220472" footer="0.67"/>
  <pageSetup horizontalDpi="600" verticalDpi="600" orientation="landscape" paperSize="9" scale="88" r:id="rId3"/>
  <headerFooter alignWithMargins="0">
    <oddHeader>&amp;R&amp;P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4:G3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2.8515625" style="0" bestFit="1" customWidth="1"/>
  </cols>
  <sheetData>
    <row r="4" spans="2:6" ht="12.75">
      <c r="B4" s="137">
        <v>2011</v>
      </c>
      <c r="C4" s="137">
        <v>2012</v>
      </c>
      <c r="D4" s="137">
        <v>2013</v>
      </c>
      <c r="E4" s="137">
        <v>2014</v>
      </c>
      <c r="F4" s="137">
        <v>2015</v>
      </c>
    </row>
    <row r="5" spans="1:6" ht="15">
      <c r="A5" t="s">
        <v>201</v>
      </c>
      <c r="B5" s="5">
        <v>2233.513</v>
      </c>
      <c r="C5" s="5">
        <v>2610.689</v>
      </c>
      <c r="D5" s="5">
        <v>3059.123</v>
      </c>
      <c r="E5" s="5">
        <v>3593.513</v>
      </c>
      <c r="F5" s="5">
        <v>4232.313</v>
      </c>
    </row>
    <row r="6" spans="1:6" ht="15">
      <c r="A6" t="s">
        <v>202</v>
      </c>
      <c r="B6" s="6">
        <v>2254.345</v>
      </c>
      <c r="C6" s="6">
        <v>2648.484</v>
      </c>
      <c r="D6" s="6">
        <v>3119.879</v>
      </c>
      <c r="E6" s="6">
        <v>3682.591</v>
      </c>
      <c r="F6" s="6">
        <v>4355.599</v>
      </c>
    </row>
    <row r="8" spans="1:7" s="138" customFormat="1" ht="12.75">
      <c r="A8" s="138" t="s">
        <v>198</v>
      </c>
      <c r="B8" s="139">
        <v>455.19</v>
      </c>
      <c r="C8" s="139">
        <v>518.222</v>
      </c>
      <c r="D8" s="139">
        <v>590.105</v>
      </c>
      <c r="E8" s="139">
        <v>671.628</v>
      </c>
      <c r="F8" s="139">
        <v>763.932</v>
      </c>
      <c r="G8" s="139"/>
    </row>
    <row r="9" spans="1:7" ht="12.75">
      <c r="A9" t="s">
        <v>203</v>
      </c>
      <c r="B9" s="140">
        <v>459.436</v>
      </c>
      <c r="C9" s="140">
        <v>525.796</v>
      </c>
      <c r="D9" s="140">
        <v>601.825</v>
      </c>
      <c r="E9" s="140">
        <v>688.276</v>
      </c>
      <c r="F9" s="140">
        <v>786.186</v>
      </c>
      <c r="G9" s="140"/>
    </row>
    <row r="10" spans="1:7" s="138" customFormat="1" ht="12.75">
      <c r="A10" s="138" t="s">
        <v>199</v>
      </c>
      <c r="B10" s="139">
        <v>903.68</v>
      </c>
      <c r="C10" s="139">
        <v>1059.679</v>
      </c>
      <c r="D10" s="139">
        <v>1245.981</v>
      </c>
      <c r="E10" s="139">
        <v>1468.669</v>
      </c>
      <c r="F10" s="139">
        <v>1736.095</v>
      </c>
      <c r="G10" s="139"/>
    </row>
    <row r="11" spans="1:7" ht="12.75">
      <c r="A11" t="s">
        <v>204</v>
      </c>
      <c r="B11" s="140">
        <v>912.108</v>
      </c>
      <c r="C11" s="140">
        <v>1075.167</v>
      </c>
      <c r="D11" s="140">
        <v>1270.727</v>
      </c>
      <c r="E11" s="140">
        <v>1505.075</v>
      </c>
      <c r="F11" s="140">
        <v>1786.667</v>
      </c>
      <c r="G11" s="140"/>
    </row>
    <row r="12" spans="1:7" s="138" customFormat="1" ht="12.75">
      <c r="A12" s="138" t="s">
        <v>205</v>
      </c>
      <c r="B12" s="139">
        <v>874.644</v>
      </c>
      <c r="C12" s="139">
        <v>1032.789</v>
      </c>
      <c r="D12" s="139">
        <v>1223.037</v>
      </c>
      <c r="E12" s="139">
        <v>1453.217</v>
      </c>
      <c r="F12" s="139">
        <v>1732</v>
      </c>
      <c r="G12" s="139"/>
    </row>
    <row r="13" spans="1:7" ht="12.75">
      <c r="A13" t="s">
        <v>206</v>
      </c>
      <c r="B13" s="140">
        <v>882.802</v>
      </c>
      <c r="C13" s="140">
        <v>1047.884</v>
      </c>
      <c r="D13" s="140">
        <v>1247.328</v>
      </c>
      <c r="E13" s="140">
        <v>1489.24</v>
      </c>
      <c r="F13" s="140" t="e">
        <f>F6*#REF!/100</f>
        <v>#REF!</v>
      </c>
      <c r="G13" s="140"/>
    </row>
    <row r="14" spans="2:7" ht="12.75">
      <c r="B14" s="140"/>
      <c r="C14" s="140"/>
      <c r="D14" s="140"/>
      <c r="E14" s="140"/>
      <c r="F14" s="140"/>
      <c r="G14" s="140"/>
    </row>
    <row r="15" spans="2:7" ht="12.75">
      <c r="B15" s="140"/>
      <c r="C15" s="140"/>
      <c r="D15" s="140"/>
      <c r="E15" s="140"/>
      <c r="F15" s="140"/>
      <c r="G15" s="140"/>
    </row>
    <row r="16" spans="1:7" ht="12.75">
      <c r="A16" t="s">
        <v>207</v>
      </c>
      <c r="B16" s="140" t="s">
        <v>210</v>
      </c>
      <c r="C16" s="140"/>
      <c r="D16" s="140"/>
      <c r="E16" s="140"/>
      <c r="F16" s="140" t="s">
        <v>208</v>
      </c>
      <c r="G16" s="140" t="s">
        <v>209</v>
      </c>
    </row>
    <row r="17" spans="1:7" ht="12.75">
      <c r="A17" s="138" t="s">
        <v>195</v>
      </c>
      <c r="B17" s="140" t="e">
        <f>#REF!*#REF!/100</f>
        <v>#REF!</v>
      </c>
      <c r="C17" s="140" t="e">
        <f>#REF!*#REF!/100</f>
        <v>#REF!</v>
      </c>
      <c r="D17" s="140" t="e">
        <f>#REF!*#REF!/100</f>
        <v>#REF!</v>
      </c>
      <c r="E17" s="140" t="e">
        <f>#REF!*#REF!/100</f>
        <v>#REF!</v>
      </c>
      <c r="F17" s="140" t="e">
        <f>#REF!*40/100</f>
        <v>#REF!</v>
      </c>
      <c r="G17" s="140" t="e">
        <f>#REF!*41/100</f>
        <v>#REF!</v>
      </c>
    </row>
    <row r="18" spans="1:7" ht="12.75">
      <c r="A18" t="s">
        <v>196</v>
      </c>
      <c r="B18" s="140" t="e">
        <f>#REF!*#REF!/100</f>
        <v>#REF!</v>
      </c>
      <c r="C18" s="140" t="e">
        <f>#REF!*#REF!/100</f>
        <v>#REF!</v>
      </c>
      <c r="D18" s="140" t="e">
        <f>#REF!*#REF!/100</f>
        <v>#REF!</v>
      </c>
      <c r="E18" s="140" t="e">
        <f>#REF!*#REF!/100</f>
        <v>#REF!</v>
      </c>
      <c r="F18" s="140" t="e">
        <f>#REF!*28/100</f>
        <v>#REF!</v>
      </c>
      <c r="G18" s="140" t="e">
        <f>#REF!*29/100</f>
        <v>#REF!</v>
      </c>
    </row>
    <row r="19" spans="1:7" ht="12.75">
      <c r="A19" s="138" t="s">
        <v>197</v>
      </c>
      <c r="B19" s="140" t="e">
        <f>#REF!*#REF!/100</f>
        <v>#REF!</v>
      </c>
      <c r="C19" s="140" t="e">
        <f>#REF!*#REF!/100</f>
        <v>#REF!</v>
      </c>
      <c r="D19" s="140" t="e">
        <f>#REF!*#REF!/100</f>
        <v>#REF!</v>
      </c>
      <c r="E19" s="140" t="e">
        <f>#REF!*#REF!/100</f>
        <v>#REF!</v>
      </c>
      <c r="F19" s="140" t="e">
        <f>#REF!*30/100</f>
        <v>#REF!</v>
      </c>
      <c r="G19" s="140" t="e">
        <f>#REF!*31/100</f>
        <v>#REF!</v>
      </c>
    </row>
    <row r="21" spans="1:7" ht="12.75">
      <c r="A21" s="138"/>
      <c r="B21" s="140" t="e">
        <f aca="true" t="shared" si="0" ref="B21:G21">SUM(B17:B19)</f>
        <v>#REF!</v>
      </c>
      <c r="C21" s="140" t="e">
        <f t="shared" si="0"/>
        <v>#REF!</v>
      </c>
      <c r="D21" s="140" t="e">
        <f t="shared" si="0"/>
        <v>#REF!</v>
      </c>
      <c r="E21" s="140" t="e">
        <f t="shared" si="0"/>
        <v>#REF!</v>
      </c>
      <c r="F21" s="140" t="e">
        <f t="shared" si="0"/>
        <v>#REF!</v>
      </c>
      <c r="G21" s="140" t="e">
        <f t="shared" si="0"/>
        <v>#REF!</v>
      </c>
    </row>
    <row r="23" ht="12.75">
      <c r="A23" t="s">
        <v>211</v>
      </c>
    </row>
    <row r="24" spans="1:6" ht="12.75">
      <c r="A24" t="s">
        <v>212</v>
      </c>
      <c r="B24" t="e">
        <f>B5/B21</f>
        <v>#REF!</v>
      </c>
      <c r="C24" t="e">
        <f>C5/C21</f>
        <v>#REF!</v>
      </c>
      <c r="D24" t="e">
        <f>D5/D21</f>
        <v>#REF!</v>
      </c>
      <c r="E24" t="e">
        <f>E5/E21</f>
        <v>#REF!</v>
      </c>
      <c r="F24" t="e">
        <f>F5/F21</f>
        <v>#REF!</v>
      </c>
    </row>
    <row r="25" spans="1:6" ht="12.75">
      <c r="A25" t="s">
        <v>212</v>
      </c>
      <c r="B25" t="e">
        <f>B6/B21</f>
        <v>#REF!</v>
      </c>
      <c r="C25" t="e">
        <f>C6/C21</f>
        <v>#REF!</v>
      </c>
      <c r="D25" t="e">
        <f>D6/D21</f>
        <v>#REF!</v>
      </c>
      <c r="E25" t="e">
        <f>E6/E21</f>
        <v>#REF!</v>
      </c>
      <c r="F25" t="e">
        <f>F6/F21</f>
        <v>#REF!</v>
      </c>
    </row>
    <row r="27" spans="1:7" ht="12.75">
      <c r="A27" s="138" t="s">
        <v>198</v>
      </c>
      <c r="B27" s="140" t="e">
        <f>B8/B17</f>
        <v>#REF!</v>
      </c>
      <c r="C27" s="140" t="e">
        <f>C8/C17</f>
        <v>#REF!</v>
      </c>
      <c r="D27" s="140" t="e">
        <f>D8/D17</f>
        <v>#REF!</v>
      </c>
      <c r="E27" s="140" t="e">
        <f>E8/E17</f>
        <v>#REF!</v>
      </c>
      <c r="F27" s="140" t="e">
        <f>$F$8/F17</f>
        <v>#REF!</v>
      </c>
      <c r="G27" s="140" t="e">
        <f>$F$8/G17</f>
        <v>#REF!</v>
      </c>
    </row>
    <row r="28" spans="1:7" ht="12.75">
      <c r="A28" t="s">
        <v>203</v>
      </c>
      <c r="B28" s="140" t="e">
        <f aca="true" t="shared" si="1" ref="B28:E29">B9/B17</f>
        <v>#REF!</v>
      </c>
      <c r="C28" s="140" t="e">
        <f t="shared" si="1"/>
        <v>#REF!</v>
      </c>
      <c r="D28" s="140" t="e">
        <f t="shared" si="1"/>
        <v>#REF!</v>
      </c>
      <c r="E28" s="140" t="e">
        <f t="shared" si="1"/>
        <v>#REF!</v>
      </c>
      <c r="F28" s="140" t="e">
        <f>$F$9/F17</f>
        <v>#REF!</v>
      </c>
      <c r="G28" s="140" t="e">
        <f>$F$9/G17</f>
        <v>#REF!</v>
      </c>
    </row>
    <row r="29" spans="1:7" ht="12.75">
      <c r="A29" s="138" t="s">
        <v>199</v>
      </c>
      <c r="B29" s="140" t="e">
        <f t="shared" si="1"/>
        <v>#REF!</v>
      </c>
      <c r="C29" s="140" t="e">
        <f t="shared" si="1"/>
        <v>#REF!</v>
      </c>
      <c r="D29" s="140" t="e">
        <f t="shared" si="1"/>
        <v>#REF!</v>
      </c>
      <c r="E29" s="140" t="e">
        <f t="shared" si="1"/>
        <v>#REF!</v>
      </c>
      <c r="F29" s="140" t="e">
        <f>$F$10/F18</f>
        <v>#REF!</v>
      </c>
      <c r="G29" s="140" t="e">
        <f>$F$10/G18</f>
        <v>#REF!</v>
      </c>
    </row>
    <row r="30" spans="1:7" ht="12.75">
      <c r="A30" t="s">
        <v>204</v>
      </c>
      <c r="B30" s="140" t="e">
        <f aca="true" t="shared" si="2" ref="B30:E31">B11/B18</f>
        <v>#REF!</v>
      </c>
      <c r="C30" s="140" t="e">
        <f t="shared" si="2"/>
        <v>#REF!</v>
      </c>
      <c r="D30" s="140" t="e">
        <f t="shared" si="2"/>
        <v>#REF!</v>
      </c>
      <c r="E30" s="140" t="e">
        <f t="shared" si="2"/>
        <v>#REF!</v>
      </c>
      <c r="F30" s="140" t="e">
        <f>$F$11/F18</f>
        <v>#REF!</v>
      </c>
      <c r="G30" s="140" t="e">
        <f>$F$11/G18</f>
        <v>#REF!</v>
      </c>
    </row>
    <row r="31" spans="1:7" ht="12.75">
      <c r="A31" s="138" t="s">
        <v>205</v>
      </c>
      <c r="B31" s="140" t="e">
        <f t="shared" si="2"/>
        <v>#REF!</v>
      </c>
      <c r="C31" s="140" t="e">
        <f t="shared" si="2"/>
        <v>#REF!</v>
      </c>
      <c r="D31" s="140" t="e">
        <f t="shared" si="2"/>
        <v>#REF!</v>
      </c>
      <c r="E31" s="140" t="e">
        <f t="shared" si="2"/>
        <v>#REF!</v>
      </c>
      <c r="F31" s="140" t="e">
        <f>$F$12/F19</f>
        <v>#REF!</v>
      </c>
      <c r="G31" s="140" t="e">
        <f>$F$12/G19</f>
        <v>#REF!</v>
      </c>
    </row>
    <row r="32" spans="1:7" ht="12.75">
      <c r="A32" t="s">
        <v>206</v>
      </c>
      <c r="B32" s="140" t="e">
        <f>B13/B19</f>
        <v>#REF!</v>
      </c>
      <c r="C32" s="140" t="e">
        <f>C13/C19</f>
        <v>#REF!</v>
      </c>
      <c r="D32" s="140" t="e">
        <f>D13/D19</f>
        <v>#REF!</v>
      </c>
      <c r="E32" s="140" t="e">
        <f>E13/E19</f>
        <v>#REF!</v>
      </c>
      <c r="F32" s="140" t="e">
        <f>$F$13/F19</f>
        <v>#REF!</v>
      </c>
      <c r="G32" s="140" t="e">
        <f>$F$13/G19</f>
        <v>#REF!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138" useFirstPageNumber="1" horizontalDpi="600" verticalDpi="600" orientation="landscape" paperSize="9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140625" style="4" customWidth="1"/>
    <col min="2" max="2" width="36.57421875" style="2" customWidth="1"/>
    <col min="3" max="3" width="15.8515625" style="3" customWidth="1"/>
    <col min="4" max="4" width="12.8515625" style="1" customWidth="1"/>
    <col min="5" max="5" width="10.140625" style="1" hidden="1" customWidth="1"/>
    <col min="6" max="10" width="10.140625" style="1" customWidth="1"/>
    <col min="11" max="11" width="12.421875" style="1" customWidth="1"/>
    <col min="12" max="16384" width="9.140625" style="1" customWidth="1"/>
  </cols>
  <sheetData>
    <row r="1" ht="30" customHeight="1">
      <c r="K1" s="7" t="s">
        <v>105</v>
      </c>
    </row>
    <row r="2" spans="1:11" ht="18" customHeight="1">
      <c r="A2" s="1048" t="s">
        <v>132</v>
      </c>
      <c r="B2" s="1048"/>
      <c r="C2" s="1048"/>
      <c r="D2" s="1048"/>
      <c r="E2" s="1048"/>
      <c r="F2" s="1048"/>
      <c r="G2" s="1048"/>
      <c r="H2" s="1048"/>
      <c r="I2" s="1048"/>
      <c r="J2" s="1048"/>
      <c r="K2" s="1048"/>
    </row>
    <row r="3" ht="15" customHeight="1"/>
    <row r="4" spans="1:11" s="125" customFormat="1" ht="22.5" customHeight="1">
      <c r="A4" s="1044" t="s">
        <v>0</v>
      </c>
      <c r="B4" s="1044" t="s">
        <v>1</v>
      </c>
      <c r="C4" s="1044" t="s">
        <v>2</v>
      </c>
      <c r="D4" s="1044" t="s">
        <v>131</v>
      </c>
      <c r="E4" s="1044" t="s">
        <v>93</v>
      </c>
      <c r="F4" s="1044">
        <v>2011</v>
      </c>
      <c r="G4" s="1044">
        <v>2012</v>
      </c>
      <c r="H4" s="1046">
        <v>2013</v>
      </c>
      <c r="I4" s="1044">
        <v>2014</v>
      </c>
      <c r="J4" s="1044">
        <v>2015</v>
      </c>
      <c r="K4" s="1044" t="s">
        <v>94</v>
      </c>
    </row>
    <row r="5" spans="1:11" s="125" customFormat="1" ht="21" customHeight="1">
      <c r="A5" s="1045"/>
      <c r="B5" s="1045"/>
      <c r="C5" s="1045"/>
      <c r="D5" s="1045"/>
      <c r="E5" s="1045"/>
      <c r="F5" s="1045"/>
      <c r="G5" s="1045"/>
      <c r="H5" s="1047"/>
      <c r="I5" s="1045"/>
      <c r="J5" s="1045"/>
      <c r="K5" s="1045"/>
    </row>
    <row r="6" spans="1:11" ht="19.5" customHeight="1">
      <c r="A6" s="29"/>
      <c r="B6" s="32"/>
      <c r="C6" s="126"/>
      <c r="D6" s="18"/>
      <c r="E6" s="18"/>
      <c r="F6" s="18"/>
      <c r="G6" s="18"/>
      <c r="H6" s="18"/>
      <c r="I6" s="122"/>
      <c r="J6" s="122"/>
      <c r="K6" s="20"/>
    </row>
    <row r="7" spans="1:11" s="21" customFormat="1" ht="33.75" customHeight="1">
      <c r="A7" s="15" t="s">
        <v>101</v>
      </c>
      <c r="B7" s="16" t="s">
        <v>119</v>
      </c>
      <c r="C7" s="30" t="s">
        <v>16</v>
      </c>
      <c r="E7" s="69">
        <f>E10+E13</f>
        <v>714.052</v>
      </c>
      <c r="F7" s="69"/>
      <c r="G7" s="69"/>
      <c r="H7" s="102"/>
      <c r="I7" s="102"/>
      <c r="J7" s="102"/>
      <c r="K7" s="8"/>
    </row>
    <row r="8" spans="1:12" s="92" customFormat="1" ht="33.75" customHeight="1">
      <c r="A8" s="87"/>
      <c r="B8" s="83" t="s">
        <v>17</v>
      </c>
      <c r="C8" s="30" t="s">
        <v>5</v>
      </c>
      <c r="D8" s="84"/>
      <c r="E8" s="91"/>
      <c r="F8" s="93"/>
      <c r="G8" s="93"/>
      <c r="H8" s="106"/>
      <c r="I8" s="106"/>
      <c r="J8" s="106"/>
      <c r="K8" s="87"/>
      <c r="L8" s="121"/>
    </row>
    <row r="9" spans="1:11" s="92" customFormat="1" ht="33.75" customHeight="1">
      <c r="A9" s="87"/>
      <c r="B9" s="83" t="s">
        <v>117</v>
      </c>
      <c r="C9" s="30" t="s">
        <v>5</v>
      </c>
      <c r="D9" s="84"/>
      <c r="E9" s="91">
        <f>E7/E31*100</f>
        <v>85.08722592945662</v>
      </c>
      <c r="F9" s="91"/>
      <c r="G9" s="91"/>
      <c r="H9" s="104"/>
      <c r="I9" s="104"/>
      <c r="J9" s="104"/>
      <c r="K9" s="87"/>
    </row>
    <row r="10" spans="1:11" s="9" customFormat="1" ht="33.75" customHeight="1">
      <c r="A10" s="15" t="s">
        <v>102</v>
      </c>
      <c r="B10" s="16" t="s">
        <v>118</v>
      </c>
      <c r="C10" s="30" t="s">
        <v>16</v>
      </c>
      <c r="E10" s="69">
        <v>152.571</v>
      </c>
      <c r="F10" s="69"/>
      <c r="G10" s="69"/>
      <c r="H10" s="114"/>
      <c r="I10" s="114"/>
      <c r="J10" s="114"/>
      <c r="K10" s="15"/>
    </row>
    <row r="11" spans="1:11" s="88" customFormat="1" ht="33.75" customHeight="1">
      <c r="A11" s="82"/>
      <c r="B11" s="90" t="s">
        <v>123</v>
      </c>
      <c r="C11" s="30" t="s">
        <v>5</v>
      </c>
      <c r="D11" s="84"/>
      <c r="E11" s="85"/>
      <c r="F11" s="86"/>
      <c r="G11" s="86"/>
      <c r="H11" s="103"/>
      <c r="I11" s="103"/>
      <c r="J11" s="103"/>
      <c r="K11" s="87"/>
    </row>
    <row r="12" spans="1:11" s="88" customFormat="1" ht="33.75" customHeight="1">
      <c r="A12" s="82"/>
      <c r="B12" s="90" t="s">
        <v>109</v>
      </c>
      <c r="C12" s="30" t="s">
        <v>5</v>
      </c>
      <c r="D12" s="84"/>
      <c r="E12" s="93">
        <f>E10/E7*100</f>
        <v>21.36693125990824</v>
      </c>
      <c r="F12" s="93"/>
      <c r="G12" s="93"/>
      <c r="H12" s="103"/>
      <c r="I12" s="103"/>
      <c r="J12" s="103"/>
      <c r="K12" s="87"/>
    </row>
    <row r="13" spans="1:11" s="21" customFormat="1" ht="33.75" customHeight="1">
      <c r="A13" s="15" t="s">
        <v>115</v>
      </c>
      <c r="B13" s="16" t="s">
        <v>106</v>
      </c>
      <c r="C13" s="30" t="s">
        <v>16</v>
      </c>
      <c r="E13" s="69">
        <f>E17+E19</f>
        <v>561.481</v>
      </c>
      <c r="F13" s="69"/>
      <c r="G13" s="69"/>
      <c r="H13" s="105"/>
      <c r="I13" s="105"/>
      <c r="J13" s="105"/>
      <c r="K13" s="8"/>
    </row>
    <row r="14" spans="1:11" s="92" customFormat="1" ht="28.5" customHeight="1">
      <c r="A14" s="87"/>
      <c r="B14" s="90" t="s">
        <v>123</v>
      </c>
      <c r="C14" s="30" t="s">
        <v>5</v>
      </c>
      <c r="D14" s="84"/>
      <c r="E14" s="91"/>
      <c r="F14" s="86"/>
      <c r="G14" s="86"/>
      <c r="H14" s="106"/>
      <c r="I14" s="106"/>
      <c r="J14" s="106"/>
      <c r="K14" s="87"/>
    </row>
    <row r="15" spans="1:11" s="92" customFormat="1" ht="27.75" customHeight="1">
      <c r="A15" s="87"/>
      <c r="B15" s="90" t="s">
        <v>114</v>
      </c>
      <c r="C15" s="30" t="s">
        <v>5</v>
      </c>
      <c r="D15" s="84"/>
      <c r="E15" s="91">
        <f>E10/E31*100</f>
        <v>18.180529075309817</v>
      </c>
      <c r="F15" s="91"/>
      <c r="G15" s="91"/>
      <c r="H15" s="104"/>
      <c r="I15" s="104"/>
      <c r="J15" s="104"/>
      <c r="K15" s="87"/>
    </row>
    <row r="16" spans="1:11" s="21" customFormat="1" ht="25.5" customHeight="1">
      <c r="A16" s="8"/>
      <c r="B16" s="12" t="s">
        <v>6</v>
      </c>
      <c r="C16" s="30"/>
      <c r="D16" s="19"/>
      <c r="E16" s="69"/>
      <c r="F16" s="69"/>
      <c r="G16" s="69"/>
      <c r="H16" s="101"/>
      <c r="I16" s="101"/>
      <c r="J16" s="101"/>
      <c r="K16" s="8"/>
    </row>
    <row r="17" spans="1:11" s="33" customFormat="1" ht="26.25" customHeight="1">
      <c r="A17" s="55"/>
      <c r="B17" s="94" t="s">
        <v>107</v>
      </c>
      <c r="C17" s="30" t="s">
        <v>16</v>
      </c>
      <c r="D17" s="72"/>
      <c r="E17" s="69">
        <v>402.301</v>
      </c>
      <c r="F17" s="69"/>
      <c r="G17" s="69"/>
      <c r="H17" s="107"/>
      <c r="I17" s="107"/>
      <c r="J17" s="107"/>
      <c r="K17" s="55"/>
    </row>
    <row r="18" spans="1:11" s="33" customFormat="1" ht="26.25" customHeight="1">
      <c r="A18" s="55"/>
      <c r="B18" s="95" t="s">
        <v>17</v>
      </c>
      <c r="C18" s="115" t="s">
        <v>5</v>
      </c>
      <c r="D18" s="28"/>
      <c r="E18" s="69"/>
      <c r="F18" s="31"/>
      <c r="G18" s="31"/>
      <c r="H18" s="108"/>
      <c r="I18" s="108"/>
      <c r="J18" s="108"/>
      <c r="K18" s="11"/>
    </row>
    <row r="19" spans="1:11" s="33" customFormat="1" ht="25.5" customHeight="1">
      <c r="A19" s="55"/>
      <c r="B19" s="94" t="s">
        <v>108</v>
      </c>
      <c r="C19" s="30" t="s">
        <v>16</v>
      </c>
      <c r="D19" s="72"/>
      <c r="E19" s="69">
        <v>159.18</v>
      </c>
      <c r="F19" s="69"/>
      <c r="G19" s="69"/>
      <c r="H19" s="107"/>
      <c r="I19" s="107"/>
      <c r="J19" s="107"/>
      <c r="K19" s="55"/>
    </row>
    <row r="20" spans="1:11" s="33" customFormat="1" ht="24.75" customHeight="1">
      <c r="A20" s="55"/>
      <c r="B20" s="95" t="s">
        <v>17</v>
      </c>
      <c r="C20" s="115" t="s">
        <v>5</v>
      </c>
      <c r="D20" s="28"/>
      <c r="E20" s="69"/>
      <c r="F20" s="31"/>
      <c r="G20" s="31"/>
      <c r="H20" s="108"/>
      <c r="I20" s="108"/>
      <c r="J20" s="108"/>
      <c r="K20" s="11"/>
    </row>
    <row r="21" spans="1:11" s="33" customFormat="1" ht="19.5" customHeight="1">
      <c r="A21" s="55"/>
      <c r="B21" s="95"/>
      <c r="C21" s="115"/>
      <c r="D21" s="28"/>
      <c r="E21" s="69"/>
      <c r="F21" s="31"/>
      <c r="G21" s="31"/>
      <c r="H21" s="109"/>
      <c r="I21" s="109"/>
      <c r="J21" s="109"/>
      <c r="K21" s="11"/>
    </row>
    <row r="22" spans="1:11" s="21" customFormat="1" ht="33.75" customHeight="1">
      <c r="A22" s="15" t="s">
        <v>116</v>
      </c>
      <c r="B22" s="16" t="s">
        <v>110</v>
      </c>
      <c r="C22" s="30" t="s">
        <v>16</v>
      </c>
      <c r="D22" s="28"/>
      <c r="E22" s="69">
        <f>E25+E28</f>
        <v>556.0989999999999</v>
      </c>
      <c r="F22" s="69"/>
      <c r="G22" s="69"/>
      <c r="H22" s="105"/>
      <c r="I22" s="105"/>
      <c r="J22" s="105"/>
      <c r="K22" s="8"/>
    </row>
    <row r="23" spans="1:11" s="21" customFormat="1" ht="33.75" customHeight="1">
      <c r="A23" s="8"/>
      <c r="B23" s="83" t="s">
        <v>17</v>
      </c>
      <c r="C23" s="30" t="s">
        <v>5</v>
      </c>
      <c r="D23" s="27"/>
      <c r="E23" s="71"/>
      <c r="F23" s="17"/>
      <c r="G23" s="17"/>
      <c r="H23" s="110"/>
      <c r="I23" s="110"/>
      <c r="J23" s="110"/>
      <c r="K23" s="8"/>
    </row>
    <row r="24" spans="1:11" s="21" customFormat="1" ht="33.75" customHeight="1">
      <c r="A24" s="8"/>
      <c r="B24" s="12" t="s">
        <v>6</v>
      </c>
      <c r="C24" s="30"/>
      <c r="D24" s="19"/>
      <c r="E24" s="96"/>
      <c r="F24" s="96"/>
      <c r="G24" s="96"/>
      <c r="H24" s="101"/>
      <c r="I24" s="101"/>
      <c r="J24" s="101"/>
      <c r="K24" s="8"/>
    </row>
    <row r="25" spans="1:11" s="21" customFormat="1" ht="33.75" customHeight="1">
      <c r="A25" s="8"/>
      <c r="B25" s="26" t="s">
        <v>111</v>
      </c>
      <c r="C25" s="30" t="s">
        <v>16</v>
      </c>
      <c r="D25" s="19"/>
      <c r="E25" s="22">
        <v>421.654</v>
      </c>
      <c r="F25" s="22"/>
      <c r="G25" s="22"/>
      <c r="H25" s="101"/>
      <c r="I25" s="101"/>
      <c r="J25" s="101"/>
      <c r="K25" s="8"/>
    </row>
    <row r="26" spans="1:11" s="21" customFormat="1" ht="33.75" customHeight="1">
      <c r="A26" s="8"/>
      <c r="B26" s="89" t="s">
        <v>120</v>
      </c>
      <c r="C26" s="30" t="s">
        <v>5</v>
      </c>
      <c r="D26" s="19"/>
      <c r="E26" s="22"/>
      <c r="F26" s="31"/>
      <c r="G26" s="31"/>
      <c r="H26" s="108"/>
      <c r="I26" s="108"/>
      <c r="J26" s="108"/>
      <c r="K26" s="8"/>
    </row>
    <row r="27" spans="1:11" s="25" customFormat="1" ht="33.75" customHeight="1">
      <c r="A27" s="23"/>
      <c r="B27" s="74" t="s">
        <v>121</v>
      </c>
      <c r="C27" s="30" t="s">
        <v>5</v>
      </c>
      <c r="D27" s="24"/>
      <c r="E27" s="17">
        <f>+E25/E22*100</f>
        <v>75.82354940397305</v>
      </c>
      <c r="F27" s="17"/>
      <c r="G27" s="17"/>
      <c r="H27" s="110"/>
      <c r="I27" s="110"/>
      <c r="J27" s="110"/>
      <c r="K27" s="23"/>
    </row>
    <row r="28" spans="1:12" s="21" customFormat="1" ht="33.75" customHeight="1">
      <c r="A28" s="8"/>
      <c r="B28" s="26" t="s">
        <v>112</v>
      </c>
      <c r="C28" s="30" t="s">
        <v>16</v>
      </c>
      <c r="D28" s="19"/>
      <c r="E28" s="73">
        <v>134.445</v>
      </c>
      <c r="F28" s="73"/>
      <c r="G28" s="73"/>
      <c r="H28" s="111"/>
      <c r="I28" s="111"/>
      <c r="J28" s="111"/>
      <c r="K28" s="8"/>
      <c r="L28" s="120"/>
    </row>
    <row r="29" spans="1:11" s="14" customFormat="1" ht="33.75" customHeight="1">
      <c r="A29" s="11"/>
      <c r="B29" s="89" t="s">
        <v>120</v>
      </c>
      <c r="C29" s="115" t="s">
        <v>5</v>
      </c>
      <c r="D29" s="28"/>
      <c r="E29" s="99"/>
      <c r="F29" s="31"/>
      <c r="G29" s="31"/>
      <c r="H29" s="109"/>
      <c r="I29" s="109"/>
      <c r="J29" s="109"/>
      <c r="K29" s="11"/>
    </row>
    <row r="30" spans="1:11" s="14" customFormat="1" ht="33.75" customHeight="1">
      <c r="A30" s="97"/>
      <c r="B30" s="75" t="s">
        <v>122</v>
      </c>
      <c r="C30" s="115" t="s">
        <v>5</v>
      </c>
      <c r="D30" s="28"/>
      <c r="E30" s="13">
        <f>+E28/E22*100</f>
        <v>24.176450596026967</v>
      </c>
      <c r="F30" s="13"/>
      <c r="G30" s="13"/>
      <c r="H30" s="112"/>
      <c r="I30" s="112"/>
      <c r="J30" s="112"/>
      <c r="K30" s="98"/>
    </row>
    <row r="31" spans="1:11" s="25" customFormat="1" ht="33.75" customHeight="1" hidden="1">
      <c r="A31" s="76" t="s">
        <v>18</v>
      </c>
      <c r="B31" s="77" t="s">
        <v>113</v>
      </c>
      <c r="C31" s="10" t="s">
        <v>16</v>
      </c>
      <c r="D31" s="78"/>
      <c r="E31" s="70">
        <v>839.2</v>
      </c>
      <c r="F31" s="70">
        <v>974.3</v>
      </c>
      <c r="G31" s="79">
        <v>1144</v>
      </c>
      <c r="H31" s="78">
        <v>1490</v>
      </c>
      <c r="I31" s="123"/>
      <c r="J31" s="123"/>
      <c r="K31" s="63"/>
    </row>
    <row r="32" spans="1:11" s="21" customFormat="1" ht="19.5" customHeight="1">
      <c r="A32" s="36"/>
      <c r="B32" s="35"/>
      <c r="C32" s="127"/>
      <c r="D32" s="37"/>
      <c r="E32" s="80"/>
      <c r="F32" s="37"/>
      <c r="G32" s="37"/>
      <c r="H32" s="113"/>
      <c r="I32" s="113"/>
      <c r="J32" s="113"/>
      <c r="K32" s="34"/>
    </row>
    <row r="34" spans="4:10" ht="15">
      <c r="D34" s="62"/>
      <c r="H34" s="81"/>
      <c r="I34" s="81"/>
      <c r="J34" s="81"/>
    </row>
    <row r="35" spans="8:10" ht="15">
      <c r="H35" s="81"/>
      <c r="I35" s="81"/>
      <c r="J35" s="81"/>
    </row>
  </sheetData>
  <sheetProtection/>
  <mergeCells count="12">
    <mergeCell ref="A2:K2"/>
    <mergeCell ref="A4:A5"/>
    <mergeCell ref="B4:B5"/>
    <mergeCell ref="C4:C5"/>
    <mergeCell ref="D4:D5"/>
    <mergeCell ref="E4:E5"/>
    <mergeCell ref="K4:K5"/>
    <mergeCell ref="J4:J5"/>
    <mergeCell ref="F4:F5"/>
    <mergeCell ref="G4:G5"/>
    <mergeCell ref="H4:H5"/>
    <mergeCell ref="I4:I5"/>
  </mergeCells>
  <printOptions/>
  <pageMargins left="0.71" right="0.66" top="0.73" bottom="0.93" header="0.5" footer="0.5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4:S16"/>
  <sheetViews>
    <sheetView zoomScalePageLayoutView="0" workbookViewId="0" topLeftCell="A1">
      <selection activeCell="A28" sqref="A28"/>
    </sheetView>
  </sheetViews>
  <sheetFormatPr defaultColWidth="9.140625" defaultRowHeight="12.75"/>
  <cols>
    <col min="2" max="2" width="7.00390625" style="0" customWidth="1"/>
    <col min="4" max="4" width="7.8515625" style="0" customWidth="1"/>
    <col min="5" max="5" width="8.57421875" style="0" customWidth="1"/>
    <col min="6" max="7" width="7.140625" style="0" customWidth="1"/>
    <col min="8" max="8" width="7.00390625" style="0" customWidth="1"/>
    <col min="9" max="9" width="6.8515625" style="0" customWidth="1"/>
    <col min="10" max="10" width="7.8515625" style="0" customWidth="1"/>
    <col min="11" max="11" width="7.421875" style="0" customWidth="1"/>
    <col min="12" max="12" width="7.140625" style="0" customWidth="1"/>
    <col min="13" max="13" width="7.57421875" style="0" customWidth="1"/>
    <col min="14" max="14" width="7.421875" style="0" customWidth="1"/>
    <col min="15" max="15" width="7.57421875" style="0" customWidth="1"/>
    <col min="16" max="16" width="9.8515625" style="0" customWidth="1"/>
    <col min="17" max="17" width="7.421875" style="0" customWidth="1"/>
  </cols>
  <sheetData>
    <row r="4" spans="1:18" ht="12.7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35" t="s">
        <v>173</v>
      </c>
    </row>
    <row r="5" spans="1:17" ht="12.75">
      <c r="A5" s="128"/>
      <c r="B5" s="128">
        <v>2010</v>
      </c>
      <c r="C5" s="1049">
        <v>2011</v>
      </c>
      <c r="D5" s="1049"/>
      <c r="E5" s="1049"/>
      <c r="F5" s="1049">
        <v>2012</v>
      </c>
      <c r="G5" s="1049"/>
      <c r="H5" s="1049"/>
      <c r="I5" s="1049">
        <v>2013</v>
      </c>
      <c r="J5" s="1049"/>
      <c r="K5" s="1049"/>
      <c r="L5" s="1049">
        <v>2014</v>
      </c>
      <c r="M5" s="1049"/>
      <c r="N5" s="1049"/>
      <c r="O5" s="1049">
        <v>2015</v>
      </c>
      <c r="P5" s="1049"/>
      <c r="Q5" s="1049"/>
    </row>
    <row r="6" spans="1:19" ht="15">
      <c r="A6" s="128"/>
      <c r="B6" s="128"/>
      <c r="C6" s="129" t="s">
        <v>168</v>
      </c>
      <c r="D6" s="129" t="s">
        <v>169</v>
      </c>
      <c r="E6" s="129" t="s">
        <v>170</v>
      </c>
      <c r="F6" s="130" t="s">
        <v>168</v>
      </c>
      <c r="G6" s="130" t="s">
        <v>169</v>
      </c>
      <c r="H6" s="130" t="s">
        <v>170</v>
      </c>
      <c r="I6" s="129" t="s">
        <v>168</v>
      </c>
      <c r="J6" s="129" t="s">
        <v>169</v>
      </c>
      <c r="K6" s="129" t="s">
        <v>170</v>
      </c>
      <c r="L6" s="130" t="s">
        <v>168</v>
      </c>
      <c r="M6" s="130" t="s">
        <v>169</v>
      </c>
      <c r="N6" s="130" t="s">
        <v>170</v>
      </c>
      <c r="O6" s="129" t="s">
        <v>168</v>
      </c>
      <c r="P6" s="129" t="s">
        <v>169</v>
      </c>
      <c r="Q6" s="129" t="s">
        <v>170</v>
      </c>
      <c r="R6" s="136" t="s">
        <v>168</v>
      </c>
      <c r="S6" s="136" t="s">
        <v>169</v>
      </c>
    </row>
    <row r="7" spans="1:19" ht="57">
      <c r="A7" s="131" t="s">
        <v>7</v>
      </c>
      <c r="B7" s="128">
        <v>1968.55</v>
      </c>
      <c r="C7" s="128">
        <f>B7*(1+C11%)*(1+C14)</f>
        <v>2264.22621</v>
      </c>
      <c r="D7" s="128">
        <f>C7*(1+D11%)*(1+D14)</f>
        <v>2628.76662981</v>
      </c>
      <c r="E7" s="128">
        <f>(C7+D7)/2</f>
        <v>2446.496419905</v>
      </c>
      <c r="F7" s="128">
        <f>E7*(1+F11%)*(1+F14)</f>
        <v>2819.244614441726</v>
      </c>
      <c r="G7" s="128">
        <f>E7*(1+G11%)*(1+G14)</f>
        <v>2845.6667757767</v>
      </c>
      <c r="H7" s="128">
        <f>(F7+G7)/2</f>
        <v>2832.4556951092127</v>
      </c>
      <c r="I7" s="128">
        <f>H7*(1+I11%)*(1+I14)</f>
        <v>3270.126749117488</v>
      </c>
      <c r="J7" s="128">
        <f>H7*(1+J11%)*(1+J14)</f>
        <v>3300.717270624668</v>
      </c>
      <c r="K7" s="128">
        <f>(I7+J7)/2</f>
        <v>3285.422009871078</v>
      </c>
      <c r="L7" s="128">
        <f>K7*(1+L11%)*(1+L14)</f>
        <v>3803.7301861483397</v>
      </c>
      <c r="M7" s="128">
        <f>K7*(1+M11%)*(1+M14)</f>
        <v>3839.2127438549473</v>
      </c>
      <c r="N7" s="128">
        <f>(L7+M7)/2</f>
        <v>3821.4714650016435</v>
      </c>
      <c r="O7" s="128">
        <f>N7*(1+O11%)*(1+O14)</f>
        <v>4436.728370866908</v>
      </c>
      <c r="P7" s="128">
        <f>N7*(1+P11%)*(1+P14)</f>
        <v>4478.000262688925</v>
      </c>
      <c r="Q7" s="128">
        <f>(O7+P7)/2</f>
        <v>4457.364316777917</v>
      </c>
      <c r="R7">
        <f>C7+F7+I7+L7+O7</f>
        <v>16594.05613057446</v>
      </c>
      <c r="S7">
        <f>D7+G7+J7+M7+P7</f>
        <v>17092.36368275524</v>
      </c>
    </row>
    <row r="8" spans="1:19" ht="42.75">
      <c r="A8" s="131" t="s">
        <v>8</v>
      </c>
      <c r="B8" s="128">
        <v>108.15</v>
      </c>
      <c r="C8" s="128">
        <f>C7/C15</f>
        <v>121.73259193548385</v>
      </c>
      <c r="D8" s="128">
        <f>D7/D15</f>
        <v>141.33153923709676</v>
      </c>
      <c r="E8" s="128"/>
      <c r="F8" s="128">
        <f>F7/F15</f>
        <v>147.604430075483</v>
      </c>
      <c r="G8" s="128">
        <f>G7/G15</f>
        <v>148.98778930768063</v>
      </c>
      <c r="H8" s="128"/>
      <c r="I8" s="128">
        <f>I7/I15</f>
        <v>166.84320148558612</v>
      </c>
      <c r="J8" s="128">
        <f>J7/J15</f>
        <v>168.40394237880957</v>
      </c>
      <c r="K8" s="128"/>
      <c r="L8" s="128">
        <f>L7/L15</f>
        <v>187.37587123883446</v>
      </c>
      <c r="M8" s="128">
        <f>M7/M15</f>
        <v>189.12378048546537</v>
      </c>
      <c r="N8" s="128"/>
      <c r="O8" s="128">
        <f>O7/O15</f>
        <v>212.28365410846453</v>
      </c>
      <c r="P8" s="128">
        <f>P7/P15</f>
        <v>214.25838577458975</v>
      </c>
      <c r="Q8" s="128"/>
      <c r="R8">
        <f>C8+F8+I8+L8+O8</f>
        <v>835.839748843852</v>
      </c>
      <c r="S8">
        <f>D8+G8+J8+M8+P8</f>
        <v>862.105437183642</v>
      </c>
    </row>
    <row r="9" spans="1:19" ht="71.25">
      <c r="A9" s="131" t="s">
        <v>9</v>
      </c>
      <c r="B9" s="128">
        <v>1225.5</v>
      </c>
      <c r="C9" s="128">
        <f>C8*1000/C16</f>
        <v>1363.9506099213877</v>
      </c>
      <c r="D9" s="128">
        <f>D8*1000/D16</f>
        <v>1583.546658118731</v>
      </c>
      <c r="E9" s="128"/>
      <c r="F9" s="128">
        <f>F8*1000/F16</f>
        <v>1635.5061504208645</v>
      </c>
      <c r="G9" s="128">
        <f>G8*1000/G16</f>
        <v>1650.834230556018</v>
      </c>
      <c r="H9" s="128"/>
      <c r="I9" s="128">
        <f>I8*1000/I16</f>
        <v>1832.2337083855273</v>
      </c>
      <c r="J9" s="128">
        <f>J8*1000/J16</f>
        <v>1849.3734063124268</v>
      </c>
      <c r="K9" s="128"/>
      <c r="L9" s="128">
        <f>L8*1000/L16</f>
        <v>2039.7982934774054</v>
      </c>
      <c r="M9" s="128">
        <f>M8*1000/M16</f>
        <v>2058.826262632978</v>
      </c>
      <c r="N9" s="128"/>
      <c r="O9" s="128">
        <f>O8*1000/O16</f>
        <v>2291.242893777275</v>
      </c>
      <c r="P9" s="128">
        <f>P8*1000/P16</f>
        <v>2312.556781161249</v>
      </c>
      <c r="Q9" s="128"/>
      <c r="R9">
        <f>O9</f>
        <v>2291.242893777275</v>
      </c>
      <c r="S9">
        <f>P9</f>
        <v>2312.556781161249</v>
      </c>
    </row>
    <row r="10" spans="1:17" ht="12.7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 ht="45">
      <c r="A11" s="132" t="s">
        <v>4</v>
      </c>
      <c r="B11" s="128"/>
      <c r="C11" s="128">
        <v>6.5</v>
      </c>
      <c r="D11" s="128">
        <v>7.5</v>
      </c>
      <c r="E11" s="128"/>
      <c r="F11" s="128">
        <v>6.7</v>
      </c>
      <c r="G11" s="128">
        <v>7.7</v>
      </c>
      <c r="H11" s="128"/>
      <c r="I11" s="128">
        <v>6.9</v>
      </c>
      <c r="J11" s="128">
        <v>7.9</v>
      </c>
      <c r="K11" s="128"/>
      <c r="L11" s="128">
        <v>7.2</v>
      </c>
      <c r="M11" s="128">
        <v>8.2</v>
      </c>
      <c r="N11" s="128"/>
      <c r="O11" s="128">
        <v>7.5</v>
      </c>
      <c r="P11" s="128">
        <v>8.5</v>
      </c>
      <c r="Q11" s="128"/>
    </row>
    <row r="12" spans="1:17" ht="12.7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ht="12.7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ht="12.75">
      <c r="A14" s="128" t="s">
        <v>167</v>
      </c>
      <c r="B14" s="128"/>
      <c r="C14" s="133">
        <v>0.08</v>
      </c>
      <c r="D14" s="133">
        <v>0.08</v>
      </c>
      <c r="E14" s="133">
        <v>0.08</v>
      </c>
      <c r="F14" s="133">
        <v>0.08</v>
      </c>
      <c r="G14" s="133">
        <v>0.08</v>
      </c>
      <c r="H14" s="133">
        <v>0.08</v>
      </c>
      <c r="I14" s="133">
        <v>0.08</v>
      </c>
      <c r="J14" s="133">
        <v>0.08</v>
      </c>
      <c r="K14" s="133">
        <v>0.08</v>
      </c>
      <c r="L14" s="133">
        <v>0.08</v>
      </c>
      <c r="M14" s="133">
        <v>0.08</v>
      </c>
      <c r="N14" s="133">
        <v>0.08</v>
      </c>
      <c r="O14" s="133">
        <v>0.08</v>
      </c>
      <c r="P14" s="133">
        <v>0.08</v>
      </c>
      <c r="Q14" s="133">
        <v>0.08</v>
      </c>
    </row>
    <row r="15" spans="1:17" ht="12.75">
      <c r="A15" s="128" t="s">
        <v>171</v>
      </c>
      <c r="B15" s="128"/>
      <c r="C15" s="128">
        <v>18.6</v>
      </c>
      <c r="D15" s="128">
        <v>18.6</v>
      </c>
      <c r="E15" s="128">
        <v>18.6</v>
      </c>
      <c r="F15" s="128">
        <v>19.1</v>
      </c>
      <c r="G15" s="128">
        <v>19.1</v>
      </c>
      <c r="H15" s="128">
        <v>19.1</v>
      </c>
      <c r="I15" s="128">
        <v>19.6</v>
      </c>
      <c r="J15" s="128">
        <v>19.6</v>
      </c>
      <c r="K15" s="128">
        <v>19.6</v>
      </c>
      <c r="L15" s="128">
        <v>20.3</v>
      </c>
      <c r="M15" s="128">
        <v>20.3</v>
      </c>
      <c r="N15" s="128">
        <v>20.3</v>
      </c>
      <c r="O15" s="128">
        <v>20.9</v>
      </c>
      <c r="P15" s="128">
        <v>20.9</v>
      </c>
      <c r="Q15" s="128">
        <v>20.9</v>
      </c>
    </row>
    <row r="16" spans="1:17" ht="14.25">
      <c r="A16" s="128" t="s">
        <v>172</v>
      </c>
      <c r="B16" s="128"/>
      <c r="C16" s="134">
        <v>89.25</v>
      </c>
      <c r="D16" s="134">
        <v>89.25</v>
      </c>
      <c r="E16" s="134">
        <v>89.25</v>
      </c>
      <c r="F16" s="134">
        <v>90.25</v>
      </c>
      <c r="G16" s="134">
        <v>90.25</v>
      </c>
      <c r="H16" s="134">
        <v>90.25</v>
      </c>
      <c r="I16" s="134">
        <v>91.06</v>
      </c>
      <c r="J16" s="134">
        <v>91.06</v>
      </c>
      <c r="K16" s="134">
        <v>91.06</v>
      </c>
      <c r="L16" s="134">
        <v>91.86</v>
      </c>
      <c r="M16" s="134">
        <v>91.86</v>
      </c>
      <c r="N16" s="134">
        <v>91.86</v>
      </c>
      <c r="O16" s="134">
        <v>92.65</v>
      </c>
      <c r="P16" s="134">
        <v>92.65</v>
      </c>
      <c r="Q16" s="134">
        <v>92.65</v>
      </c>
    </row>
  </sheetData>
  <sheetProtection/>
  <mergeCells count="5">
    <mergeCell ref="O5:Q5"/>
    <mergeCell ref="C5:E5"/>
    <mergeCell ref="F5:H5"/>
    <mergeCell ref="I5:K5"/>
    <mergeCell ref="L5:N5"/>
  </mergeCells>
  <printOptions/>
  <pageMargins left="0.28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0">
      <selection activeCell="A28" sqref="A28"/>
    </sheetView>
  </sheetViews>
  <sheetFormatPr defaultColWidth="9.140625" defaultRowHeight="12.75"/>
  <cols>
    <col min="1" max="1" width="23.421875" style="0" bestFit="1" customWidth="1"/>
    <col min="2" max="2" width="9.8515625" style="0" bestFit="1" customWidth="1"/>
  </cols>
  <sheetData>
    <row r="2" spans="2:12" ht="27.75" customHeight="1">
      <c r="B2" t="s">
        <v>184</v>
      </c>
      <c r="C2" s="1050">
        <v>2011</v>
      </c>
      <c r="D2" s="1050"/>
      <c r="E2" s="1050">
        <v>2012</v>
      </c>
      <c r="F2" s="1050"/>
      <c r="G2" s="1050">
        <v>2013</v>
      </c>
      <c r="H2" s="1050"/>
      <c r="I2" s="1050">
        <v>2014</v>
      </c>
      <c r="J2" s="1050"/>
      <c r="K2" s="1050">
        <v>2015</v>
      </c>
      <c r="L2" s="1050"/>
    </row>
    <row r="3" spans="3:12" ht="27.75" customHeight="1">
      <c r="C3" t="s">
        <v>168</v>
      </c>
      <c r="D3" t="s">
        <v>169</v>
      </c>
      <c r="E3" t="s">
        <v>168</v>
      </c>
      <c r="F3" t="s">
        <v>169</v>
      </c>
      <c r="G3" t="s">
        <v>168</v>
      </c>
      <c r="H3" t="s">
        <v>169</v>
      </c>
      <c r="I3" t="s">
        <v>168</v>
      </c>
      <c r="J3" t="s">
        <v>169</v>
      </c>
      <c r="K3" t="s">
        <v>168</v>
      </c>
      <c r="L3" t="s">
        <v>169</v>
      </c>
    </row>
    <row r="4" spans="1:12" ht="27.75" customHeight="1">
      <c r="A4" t="s">
        <v>174</v>
      </c>
      <c r="B4" t="s">
        <v>185</v>
      </c>
      <c r="C4" t="e">
        <f>C5+C7</f>
        <v>#REF!</v>
      </c>
      <c r="D4" t="e">
        <f>D5+C7</f>
        <v>#REF!</v>
      </c>
      <c r="E4" t="e">
        <f>E5+E7</f>
        <v>#REF!</v>
      </c>
      <c r="F4" t="e">
        <f>F5+E7</f>
        <v>#REF!</v>
      </c>
      <c r="G4" t="e">
        <f>G5+G7</f>
        <v>#REF!</v>
      </c>
      <c r="H4" t="e">
        <f>H5+G7</f>
        <v>#REF!</v>
      </c>
      <c r="I4" t="e">
        <f>I5+I7</f>
        <v>#REF!</v>
      </c>
      <c r="J4" t="e">
        <f>J5+I7</f>
        <v>#REF!</v>
      </c>
      <c r="K4" t="e">
        <f>K5+K7</f>
        <v>#REF!</v>
      </c>
      <c r="L4" t="e">
        <f>L5+K7</f>
        <v>#REF!</v>
      </c>
    </row>
    <row r="5" spans="1:12" ht="27.75" customHeight="1">
      <c r="A5" t="s">
        <v>113</v>
      </c>
      <c r="B5" t="s">
        <v>185</v>
      </c>
      <c r="C5">
        <f>Sheet1!C7</f>
        <v>2264.22621</v>
      </c>
      <c r="D5">
        <f>Sheet1!D7</f>
        <v>2628.76662981</v>
      </c>
      <c r="E5">
        <f>Sheet1!F7</f>
        <v>2819.244614441726</v>
      </c>
      <c r="F5">
        <f>Sheet1!G7</f>
        <v>2845.6667757767</v>
      </c>
      <c r="G5">
        <f>Sheet1!I7</f>
        <v>3270.126749117488</v>
      </c>
      <c r="H5">
        <f>Sheet1!J7</f>
        <v>3300.717270624668</v>
      </c>
      <c r="I5">
        <f>Sheet1!L7</f>
        <v>3803.7301861483397</v>
      </c>
      <c r="J5">
        <f>Sheet1!M7</f>
        <v>3839.2127438549473</v>
      </c>
      <c r="K5">
        <f>Sheet1!O7</f>
        <v>4436.728370866908</v>
      </c>
      <c r="L5">
        <f>Sheet1!P7</f>
        <v>4478.000262688925</v>
      </c>
    </row>
    <row r="6" spans="1:11" ht="27.75" customHeight="1">
      <c r="A6" t="s">
        <v>175</v>
      </c>
      <c r="B6" t="s">
        <v>186</v>
      </c>
      <c r="C6" t="e">
        <f>#REF!</f>
        <v>#REF!</v>
      </c>
      <c r="E6" t="e">
        <f>#REF!</f>
        <v>#REF!</v>
      </c>
      <c r="G6" t="e">
        <f>#REF!</f>
        <v>#REF!</v>
      </c>
      <c r="I6" t="e">
        <f>#REF!</f>
        <v>#REF!</v>
      </c>
      <c r="K6" t="e">
        <f>#REF!</f>
        <v>#REF!</v>
      </c>
    </row>
    <row r="7" spans="1:11" ht="27.75" customHeight="1">
      <c r="A7" t="s">
        <v>176</v>
      </c>
      <c r="B7" t="s">
        <v>185</v>
      </c>
      <c r="C7" t="e">
        <f>C6*C17*0.9</f>
        <v>#REF!</v>
      </c>
      <c r="E7" t="e">
        <f>E6*E17*0.9</f>
        <v>#REF!</v>
      </c>
      <c r="G7" t="e">
        <f>G6*G17*0.9</f>
        <v>#REF!</v>
      </c>
      <c r="I7" t="e">
        <f>I6*I17*0.9</f>
        <v>#REF!</v>
      </c>
      <c r="K7" t="e">
        <f>K6*K17*0.9</f>
        <v>#REF!</v>
      </c>
    </row>
    <row r="8" ht="27.75" customHeight="1"/>
    <row r="9" ht="27.75" customHeight="1">
      <c r="A9" t="s">
        <v>177</v>
      </c>
    </row>
    <row r="10" ht="27.75" customHeight="1">
      <c r="A10" t="s">
        <v>178</v>
      </c>
    </row>
    <row r="11" ht="27.75" customHeight="1">
      <c r="A11" t="s">
        <v>179</v>
      </c>
    </row>
    <row r="12" ht="27.75" customHeight="1">
      <c r="A12" t="s">
        <v>180</v>
      </c>
    </row>
    <row r="13" spans="1:11" ht="27.75" customHeight="1">
      <c r="A13" t="s">
        <v>181</v>
      </c>
      <c r="C13" t="e">
        <f>#REF!</f>
        <v>#REF!</v>
      </c>
      <c r="E13" t="e">
        <f>#REF!</f>
        <v>#REF!</v>
      </c>
      <c r="G13" t="e">
        <f>#REF!</f>
        <v>#REF!</v>
      </c>
      <c r="I13" t="e">
        <f>#REF!</f>
        <v>#REF!</v>
      </c>
      <c r="K13" t="e">
        <f>#REF!</f>
        <v>#REF!</v>
      </c>
    </row>
    <row r="14" ht="27.75" customHeight="1">
      <c r="A14" t="s">
        <v>182</v>
      </c>
    </row>
    <row r="15" ht="27.75" customHeight="1">
      <c r="A15" t="s">
        <v>183</v>
      </c>
    </row>
    <row r="16" ht="27.75" customHeight="1"/>
    <row r="17" spans="1:12" ht="27.75" customHeight="1">
      <c r="A17" t="s">
        <v>171</v>
      </c>
      <c r="B17" t="s">
        <v>187</v>
      </c>
      <c r="C17">
        <f>Sheet1!C15</f>
        <v>18.6</v>
      </c>
      <c r="D17">
        <f>Sheet1!D15</f>
        <v>18.6</v>
      </c>
      <c r="E17">
        <f>Sheet1!F15</f>
        <v>19.1</v>
      </c>
      <c r="F17">
        <f>Sheet1!G15</f>
        <v>19.1</v>
      </c>
      <c r="G17">
        <f>Sheet1!I15</f>
        <v>19.6</v>
      </c>
      <c r="H17">
        <f>Sheet1!J15</f>
        <v>19.6</v>
      </c>
      <c r="I17">
        <f>Sheet1!L15</f>
        <v>20.3</v>
      </c>
      <c r="J17">
        <f>Sheet1!M15</f>
        <v>20.3</v>
      </c>
      <c r="K17">
        <f>Sheet1!O15</f>
        <v>20.9</v>
      </c>
      <c r="L17">
        <f>Sheet1!P15</f>
        <v>20.9</v>
      </c>
    </row>
    <row r="19" spans="1:3" ht="18.75" customHeight="1">
      <c r="A19" t="s">
        <v>188</v>
      </c>
      <c r="C19">
        <v>100</v>
      </c>
    </row>
    <row r="20" ht="18.75" customHeight="1">
      <c r="A20" t="s">
        <v>189</v>
      </c>
    </row>
    <row r="21" spans="1:12" ht="18.75" customHeight="1">
      <c r="A21" t="s">
        <v>190</v>
      </c>
      <c r="C21">
        <v>63.2</v>
      </c>
      <c r="D21">
        <v>63.4</v>
      </c>
      <c r="E21">
        <v>63.1</v>
      </c>
      <c r="F21">
        <v>63.3</v>
      </c>
      <c r="G21">
        <v>63</v>
      </c>
      <c r="H21">
        <v>63.2</v>
      </c>
      <c r="I21">
        <v>62.9</v>
      </c>
      <c r="J21">
        <v>63.1</v>
      </c>
      <c r="K21">
        <v>62.7</v>
      </c>
      <c r="L21">
        <v>62.9</v>
      </c>
    </row>
    <row r="22" spans="1:12" ht="18.75" customHeight="1">
      <c r="A22" t="s">
        <v>191</v>
      </c>
      <c r="C22">
        <v>36.8</v>
      </c>
      <c r="D22">
        <v>36.6</v>
      </c>
      <c r="E22">
        <v>36.9</v>
      </c>
      <c r="F22">
        <v>36.7</v>
      </c>
      <c r="G22">
        <v>37</v>
      </c>
      <c r="H22">
        <v>36.8</v>
      </c>
      <c r="I22">
        <v>37.1</v>
      </c>
      <c r="J22">
        <v>36.9</v>
      </c>
      <c r="K22">
        <v>37.3</v>
      </c>
      <c r="L22">
        <v>37.1</v>
      </c>
    </row>
    <row r="23" ht="18.75" customHeight="1"/>
    <row r="24" ht="18.75" customHeight="1">
      <c r="A24" t="s">
        <v>40</v>
      </c>
    </row>
    <row r="25" ht="18.75" customHeight="1">
      <c r="A25" t="s">
        <v>192</v>
      </c>
    </row>
    <row r="26" ht="18.75" customHeight="1">
      <c r="A26" t="s">
        <v>193</v>
      </c>
    </row>
    <row r="27" ht="18.75" customHeight="1">
      <c r="A27" t="s">
        <v>194</v>
      </c>
    </row>
  </sheetData>
  <sheetProtection/>
  <mergeCells count="5">
    <mergeCell ref="K2:L2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8:N18"/>
  <sheetViews>
    <sheetView zoomScalePageLayoutView="0" workbookViewId="0" topLeftCell="A7">
      <selection activeCell="J21" sqref="J21"/>
    </sheetView>
  </sheetViews>
  <sheetFormatPr defaultColWidth="9.140625" defaultRowHeight="12.75"/>
  <cols>
    <col min="1" max="10" width="9.7109375" style="0" customWidth="1"/>
  </cols>
  <sheetData>
    <row r="18" spans="1:14" ht="20.25">
      <c r="A18" s="960" t="s">
        <v>639</v>
      </c>
      <c r="B18" s="960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</row>
  </sheetData>
  <sheetProtection/>
  <mergeCells count="1">
    <mergeCell ref="A18:N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L278"/>
  <sheetViews>
    <sheetView view="pageBreakPreview" zoomScale="87" zoomScaleNormal="82" zoomScaleSheetLayoutView="87" workbookViewId="0" topLeftCell="A1">
      <pane xSplit="3" ySplit="5" topLeftCell="D9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9" sqref="F79"/>
    </sheetView>
  </sheetViews>
  <sheetFormatPr defaultColWidth="9.140625" defaultRowHeight="12.75"/>
  <cols>
    <col min="1" max="1" width="5.7109375" style="367" customWidth="1"/>
    <col min="2" max="2" width="43.140625" style="365" customWidth="1"/>
    <col min="3" max="3" width="13.28125" style="528" customWidth="1"/>
    <col min="4" max="5" width="15.57421875" style="528" customWidth="1"/>
    <col min="6" max="6" width="15.8515625" style="364" customWidth="1"/>
    <col min="7" max="7" width="15.57421875" style="364" customWidth="1"/>
    <col min="8" max="8" width="15.00390625" style="364" customWidth="1"/>
    <col min="9" max="9" width="16.57421875" style="364" customWidth="1"/>
    <col min="10" max="10" width="15.28125" style="364" customWidth="1"/>
    <col min="11" max="11" width="13.8515625" style="364" bestFit="1" customWidth="1"/>
    <col min="12" max="12" width="10.57421875" style="364" bestFit="1" customWidth="1"/>
    <col min="13" max="16384" width="9.140625" style="364" customWidth="1"/>
  </cols>
  <sheetData>
    <row r="1" spans="1:10" s="460" customFormat="1" ht="33.75" customHeight="1">
      <c r="A1" s="410"/>
      <c r="B1" s="406" t="s">
        <v>552</v>
      </c>
      <c r="C1" s="385"/>
      <c r="D1" s="398"/>
      <c r="E1" s="398"/>
      <c r="F1" s="386"/>
      <c r="G1" s="974" t="s">
        <v>560</v>
      </c>
      <c r="H1" s="974"/>
      <c r="I1" s="965" t="s">
        <v>566</v>
      </c>
      <c r="J1" s="965"/>
    </row>
    <row r="2" spans="2:10" ht="24.75" customHeight="1">
      <c r="B2" s="964" t="str">
        <f>'BM8'!B2:L2</f>
        <v>Huyện Tuần Giáo</v>
      </c>
      <c r="C2" s="964"/>
      <c r="D2" s="964"/>
      <c r="E2" s="964"/>
      <c r="F2" s="964"/>
      <c r="G2" s="964"/>
      <c r="H2" s="964"/>
      <c r="I2" s="964"/>
      <c r="J2" s="964"/>
    </row>
    <row r="3" spans="1:10" ht="39" customHeight="1">
      <c r="A3" s="483"/>
      <c r="B3" s="962" t="s">
        <v>675</v>
      </c>
      <c r="C3" s="962"/>
      <c r="D3" s="962"/>
      <c r="E3" s="962"/>
      <c r="F3" s="962"/>
      <c r="G3" s="962"/>
      <c r="H3" s="962"/>
      <c r="I3" s="962"/>
      <c r="J3" s="962"/>
    </row>
    <row r="4" spans="1:10" ht="27.75" customHeight="1">
      <c r="A4" s="961" t="s">
        <v>443</v>
      </c>
      <c r="B4" s="961" t="s">
        <v>287</v>
      </c>
      <c r="C4" s="961" t="s">
        <v>184</v>
      </c>
      <c r="D4" s="961" t="s">
        <v>563</v>
      </c>
      <c r="E4" s="961" t="s">
        <v>554</v>
      </c>
      <c r="F4" s="961" t="s">
        <v>562</v>
      </c>
      <c r="G4" s="961"/>
      <c r="H4" s="961"/>
      <c r="I4" s="961"/>
      <c r="J4" s="961"/>
    </row>
    <row r="5" spans="1:10" s="366" customFormat="1" ht="27.75" customHeight="1">
      <c r="A5" s="961"/>
      <c r="B5" s="961"/>
      <c r="C5" s="961"/>
      <c r="D5" s="961"/>
      <c r="E5" s="961"/>
      <c r="F5" s="368" t="s">
        <v>555</v>
      </c>
      <c r="G5" s="368" t="s">
        <v>556</v>
      </c>
      <c r="H5" s="368" t="s">
        <v>557</v>
      </c>
      <c r="I5" s="368" t="s">
        <v>558</v>
      </c>
      <c r="J5" s="368" t="s">
        <v>559</v>
      </c>
    </row>
    <row r="6" spans="1:10" s="363" customFormat="1" ht="20.25" customHeight="1">
      <c r="A6" s="372" t="s">
        <v>3</v>
      </c>
      <c r="B6" s="369" t="s">
        <v>288</v>
      </c>
      <c r="C6" s="574"/>
      <c r="D6" s="728"/>
      <c r="E6" s="728"/>
      <c r="F6" s="729"/>
      <c r="G6" s="729"/>
      <c r="H6" s="729"/>
      <c r="I6" s="729"/>
      <c r="J6" s="729"/>
    </row>
    <row r="7" spans="1:10" s="554" customFormat="1" ht="20.25" customHeight="1">
      <c r="A7" s="372">
        <v>1</v>
      </c>
      <c r="B7" s="373" t="s">
        <v>685</v>
      </c>
      <c r="C7" s="574"/>
      <c r="D7" s="652"/>
      <c r="E7" s="596"/>
      <c r="F7" s="652"/>
      <c r="G7" s="652"/>
      <c r="H7" s="652"/>
      <c r="I7" s="652"/>
      <c r="J7" s="652"/>
    </row>
    <row r="8" spans="1:10" s="554" customFormat="1" ht="20.25" customHeight="1">
      <c r="A8" s="372"/>
      <c r="B8" s="373" t="s">
        <v>339</v>
      </c>
      <c r="C8" s="815" t="s">
        <v>310</v>
      </c>
      <c r="D8" s="915">
        <f>'BM1-CTTH'!K9</f>
        <v>2408.7259518</v>
      </c>
      <c r="E8" s="661">
        <f aca="true" t="shared" si="0" ref="E8:J8">E21</f>
        <v>3591.0144</v>
      </c>
      <c r="F8" s="661">
        <f t="shared" si="0"/>
        <v>3153.8537579999997</v>
      </c>
      <c r="G8" s="661">
        <f t="shared" si="0"/>
        <v>3374.491575</v>
      </c>
      <c r="H8" s="661">
        <f t="shared" si="0"/>
        <v>3627.4816720000003</v>
      </c>
      <c r="I8" s="661">
        <f t="shared" si="0"/>
        <v>3917.6756240000004</v>
      </c>
      <c r="J8" s="661">
        <f t="shared" si="0"/>
        <v>4250.722049999999</v>
      </c>
    </row>
    <row r="9" spans="1:10" s="557" customFormat="1" ht="20.25" customHeight="1">
      <c r="A9" s="555"/>
      <c r="B9" s="375" t="s">
        <v>338</v>
      </c>
      <c r="C9" s="808" t="s">
        <v>5</v>
      </c>
      <c r="D9" s="907">
        <f>'BM1-CTTH'!K10</f>
        <v>11.493815045296866</v>
      </c>
      <c r="E9" s="596">
        <f>SUM(F9:J9)/5</f>
        <v>7.398904036331819</v>
      </c>
      <c r="F9" s="652">
        <f>F8/'BM1-CTTH'!J9*100-100</f>
        <v>6.000574795779755</v>
      </c>
      <c r="G9" s="652">
        <f>G8/F8*100-100</f>
        <v>6.995816354526113</v>
      </c>
      <c r="H9" s="652">
        <f>H8/G8*100-100</f>
        <v>7.497132275400631</v>
      </c>
      <c r="I9" s="652">
        <f>I8/H8*100-100</f>
        <v>7.999873693090294</v>
      </c>
      <c r="J9" s="652">
        <f>J8/I8*100-100</f>
        <v>8.501123062862305</v>
      </c>
    </row>
    <row r="10" spans="1:10" s="554" customFormat="1" ht="20.25" customHeight="1">
      <c r="A10" s="372"/>
      <c r="B10" s="376" t="s">
        <v>335</v>
      </c>
      <c r="C10" s="773" t="s">
        <v>310</v>
      </c>
      <c r="D10" s="907">
        <f>'BM1-CTTH'!K11</f>
        <v>725.5645464322</v>
      </c>
      <c r="E10" s="596">
        <f aca="true" t="shared" si="1" ref="E10:J10">E8*E34/100</f>
        <v>895.4409867264</v>
      </c>
      <c r="F10" s="596">
        <f t="shared" si="1"/>
        <v>824.7327577169999</v>
      </c>
      <c r="G10" s="596">
        <f t="shared" si="1"/>
        <v>863.8023533684999</v>
      </c>
      <c r="H10" s="596">
        <f t="shared" si="1"/>
        <v>908.53905956912</v>
      </c>
      <c r="I10" s="596">
        <f t="shared" si="1"/>
        <v>959.5954673425601</v>
      </c>
      <c r="J10" s="596">
        <f t="shared" si="1"/>
        <v>994.243887495</v>
      </c>
    </row>
    <row r="11" spans="1:10" s="557" customFormat="1" ht="20.25" customHeight="1">
      <c r="A11" s="555"/>
      <c r="B11" s="375" t="s">
        <v>338</v>
      </c>
      <c r="C11" s="809" t="s">
        <v>5</v>
      </c>
      <c r="D11" s="907">
        <f>'BM1-CTTH'!K12</f>
        <v>4.25</v>
      </c>
      <c r="E11" s="596">
        <f>SUM(F11:J11)/5</f>
        <v>4.782903254988241</v>
      </c>
      <c r="F11" s="652">
        <f>F10/'BM1-CTTH'!J11*100-100</f>
        <v>4.767880807545708</v>
      </c>
      <c r="G11" s="652">
        <f>G10/F10*100-100</f>
        <v>4.737243099164786</v>
      </c>
      <c r="H11" s="652">
        <f>H10/G10*100-100</f>
        <v>5.17904426008613</v>
      </c>
      <c r="I11" s="652">
        <f>I10/H10*100-100</f>
        <v>5.61961615581545</v>
      </c>
      <c r="J11" s="652">
        <f>J10/I10*100-100</f>
        <v>3.6107319523291324</v>
      </c>
    </row>
    <row r="12" spans="1:10" s="554" customFormat="1" ht="20.25" customHeight="1">
      <c r="A12" s="372"/>
      <c r="B12" s="376" t="s">
        <v>336</v>
      </c>
      <c r="C12" s="773" t="s">
        <v>310</v>
      </c>
      <c r="D12" s="907">
        <f>'BM1-CTTH'!K13</f>
        <v>732.013936216</v>
      </c>
      <c r="E12" s="643">
        <f aca="true" t="shared" si="2" ref="E12:J12">E8*E35/100</f>
        <v>1178.499105792</v>
      </c>
      <c r="F12" s="643">
        <f t="shared" si="2"/>
        <v>1021.848617592</v>
      </c>
      <c r="G12" s="643">
        <f t="shared" si="2"/>
        <v>1099.7468042925</v>
      </c>
      <c r="H12" s="643">
        <f t="shared" si="2"/>
        <v>1189.0884920815997</v>
      </c>
      <c r="I12" s="643">
        <f t="shared" si="2"/>
        <v>1291.6576532327997</v>
      </c>
      <c r="J12" s="643">
        <f t="shared" si="2"/>
        <v>1417.6158036749998</v>
      </c>
    </row>
    <row r="13" spans="1:10" s="557" customFormat="1" ht="20.25" customHeight="1">
      <c r="A13" s="555"/>
      <c r="B13" s="375" t="s">
        <v>338</v>
      </c>
      <c r="C13" s="809" t="s">
        <v>5</v>
      </c>
      <c r="D13" s="907">
        <f>'BM1-CTTH'!K14</f>
        <v>14.48</v>
      </c>
      <c r="E13" s="643">
        <f>SUM(F13:J13)/5</f>
        <v>8.066584053616253</v>
      </c>
      <c r="F13" s="907">
        <f>F12/'BM1-CTTH'!J13*100-100</f>
        <v>6.208286553743477</v>
      </c>
      <c r="G13" s="907">
        <f>G12/F12*100-100</f>
        <v>7.623260956605108</v>
      </c>
      <c r="H13" s="907">
        <f>H12/G12*100-100</f>
        <v>8.123841546107144</v>
      </c>
      <c r="I13" s="907">
        <f>I12/H12*100-100</f>
        <v>8.625864419194244</v>
      </c>
      <c r="J13" s="907">
        <f>J12/I12*100-100</f>
        <v>9.751666792431294</v>
      </c>
    </row>
    <row r="14" spans="1:10" s="554" customFormat="1" ht="20.25" customHeight="1">
      <c r="A14" s="372"/>
      <c r="B14" s="376" t="s">
        <v>337</v>
      </c>
      <c r="C14" s="773" t="s">
        <v>310</v>
      </c>
      <c r="D14" s="907">
        <f>'BM1-CTTH'!K15</f>
        <v>951.1474691518</v>
      </c>
      <c r="E14" s="643">
        <f aca="true" t="shared" si="3" ref="E14:J14">E8*E36/100</f>
        <v>1516.1406437376</v>
      </c>
      <c r="F14" s="643">
        <f t="shared" si="3"/>
        <v>1307.2723826909998</v>
      </c>
      <c r="G14" s="643">
        <f t="shared" si="3"/>
        <v>1410.942417339</v>
      </c>
      <c r="H14" s="643">
        <f t="shared" si="3"/>
        <v>1529.8541203492807</v>
      </c>
      <c r="I14" s="643">
        <f t="shared" si="3"/>
        <v>1666.4225034246404</v>
      </c>
      <c r="J14" s="643">
        <f t="shared" si="3"/>
        <v>1833.3364201649997</v>
      </c>
    </row>
    <row r="15" spans="1:10" s="557" customFormat="1" ht="20.25" customHeight="1">
      <c r="A15" s="555"/>
      <c r="B15" s="375" t="s">
        <v>338</v>
      </c>
      <c r="C15" s="809" t="s">
        <v>5</v>
      </c>
      <c r="D15" s="907">
        <f>'BM1-CTTH'!K16</f>
        <v>15.9</v>
      </c>
      <c r="E15" s="643">
        <f>SUM(F15:J15)/5</f>
        <v>8.38606731354995</v>
      </c>
      <c r="F15" s="907">
        <f>F14/'BM1-CTTH'!J15*100-100</f>
        <v>6.629068734991833</v>
      </c>
      <c r="G15" s="907">
        <f>G14/F14*100-100</f>
        <v>7.930255088430556</v>
      </c>
      <c r="H15" s="907">
        <f>H14/G14*100-100</f>
        <v>8.42782111792664</v>
      </c>
      <c r="I15" s="907">
        <f>I14/H14*100-100</f>
        <v>8.926889254262989</v>
      </c>
      <c r="J15" s="907">
        <f>J14/I14*100-100</f>
        <v>10.01630237213773</v>
      </c>
    </row>
    <row r="16" spans="1:10" s="554" customFormat="1" ht="20.25" customHeight="1">
      <c r="A16" s="372"/>
      <c r="B16" s="375" t="s">
        <v>214</v>
      </c>
      <c r="C16" s="575"/>
      <c r="D16" s="907"/>
      <c r="E16" s="643"/>
      <c r="F16" s="907"/>
      <c r="G16" s="907"/>
      <c r="H16" s="907"/>
      <c r="I16" s="907"/>
      <c r="J16" s="907"/>
    </row>
    <row r="17" spans="1:10" s="554" customFormat="1" ht="20.25" customHeight="1">
      <c r="A17" s="372"/>
      <c r="B17" s="376" t="s">
        <v>289</v>
      </c>
      <c r="C17" s="575" t="s">
        <v>303</v>
      </c>
      <c r="D17" s="652"/>
      <c r="E17" s="596"/>
      <c r="F17" s="652"/>
      <c r="G17" s="652"/>
      <c r="H17" s="652"/>
      <c r="I17" s="652"/>
      <c r="J17" s="652"/>
    </row>
    <row r="18" spans="1:10" s="554" customFormat="1" ht="20.25" customHeight="1">
      <c r="A18" s="372"/>
      <c r="B18" s="376" t="s">
        <v>290</v>
      </c>
      <c r="C18" s="575" t="s">
        <v>303</v>
      </c>
      <c r="D18" s="652"/>
      <c r="E18" s="596"/>
      <c r="F18" s="652"/>
      <c r="G18" s="652"/>
      <c r="H18" s="652"/>
      <c r="I18" s="652"/>
      <c r="J18" s="652"/>
    </row>
    <row r="19" spans="1:10" s="554" customFormat="1" ht="20.25" customHeight="1">
      <c r="A19" s="372"/>
      <c r="B19" s="376" t="s">
        <v>291</v>
      </c>
      <c r="C19" s="575" t="s">
        <v>303</v>
      </c>
      <c r="D19" s="652"/>
      <c r="E19" s="596"/>
      <c r="F19" s="652"/>
      <c r="G19" s="652"/>
      <c r="H19" s="652"/>
      <c r="I19" s="652"/>
      <c r="J19" s="652"/>
    </row>
    <row r="20" spans="1:10" s="554" customFormat="1" ht="20.25" customHeight="1">
      <c r="A20" s="372">
        <v>2</v>
      </c>
      <c r="B20" s="373" t="s">
        <v>330</v>
      </c>
      <c r="C20" s="575"/>
      <c r="D20" s="652"/>
      <c r="E20" s="596"/>
      <c r="F20" s="652"/>
      <c r="G20" s="652"/>
      <c r="H20" s="652"/>
      <c r="I20" s="652"/>
      <c r="J20" s="652"/>
    </row>
    <row r="21" spans="1:11" s="554" customFormat="1" ht="20.25" customHeight="1">
      <c r="A21" s="372"/>
      <c r="B21" s="376" t="s">
        <v>319</v>
      </c>
      <c r="C21" s="773" t="str">
        <f>'BM1-CTTH'!C22</f>
        <v> Tỷ đồng </v>
      </c>
      <c r="D21" s="652">
        <f>'BM1-CTTH'!K22</f>
        <v>2408.7259518</v>
      </c>
      <c r="E21" s="596">
        <f>E23*E68/1000</f>
        <v>3591.0144</v>
      </c>
      <c r="F21" s="596">
        <f>F23*F68*1.0522/1000</f>
        <v>3153.8537579999997</v>
      </c>
      <c r="G21" s="596">
        <f>G23*G68*1.0465/1000</f>
        <v>3374.491575</v>
      </c>
      <c r="H21" s="596">
        <f>H23*H68*1.0214/1000</f>
        <v>3627.4816720000003</v>
      </c>
      <c r="I21" s="596">
        <f>I23*I68*1.0072/1000</f>
        <v>3917.6756240000004</v>
      </c>
      <c r="J21" s="596">
        <f>J23*J68*0.981/1000</f>
        <v>4250.722049999999</v>
      </c>
      <c r="K21" s="858"/>
    </row>
    <row r="22" spans="1:11" s="487" customFormat="1" ht="20.25" customHeight="1">
      <c r="A22" s="374"/>
      <c r="B22" s="376" t="s">
        <v>320</v>
      </c>
      <c r="C22" s="773" t="str">
        <f>'BM1-CTTH'!C23</f>
        <v> Tỷ USD </v>
      </c>
      <c r="D22" s="652"/>
      <c r="E22" s="596"/>
      <c r="F22" s="652"/>
      <c r="G22" s="652"/>
      <c r="H22" s="652"/>
      <c r="I22" s="652"/>
      <c r="J22" s="652"/>
      <c r="K22" s="858"/>
    </row>
    <row r="23" spans="1:11" s="487" customFormat="1" ht="20.25" customHeight="1">
      <c r="A23" s="374"/>
      <c r="B23" s="376" t="s">
        <v>321</v>
      </c>
      <c r="C23" s="773" t="str">
        <f>'BM1-CTTH'!C24</f>
        <v>Triệu đồng</v>
      </c>
      <c r="D23" s="652">
        <f>'BM1-CTTH'!K24</f>
        <v>26.8</v>
      </c>
      <c r="E23" s="596">
        <f>SUM(F23:J23)/5</f>
        <v>38.4</v>
      </c>
      <c r="F23" s="652">
        <v>33</v>
      </c>
      <c r="G23" s="652">
        <v>35</v>
      </c>
      <c r="H23" s="652">
        <v>38</v>
      </c>
      <c r="I23" s="652">
        <v>41</v>
      </c>
      <c r="J23" s="652">
        <v>45</v>
      </c>
      <c r="K23" s="858"/>
    </row>
    <row r="24" spans="1:10" s="554" customFormat="1" ht="20.25" customHeight="1">
      <c r="A24" s="372">
        <v>3</v>
      </c>
      <c r="B24" s="373" t="s">
        <v>342</v>
      </c>
      <c r="C24" s="575"/>
      <c r="D24" s="652"/>
      <c r="E24" s="596"/>
      <c r="F24" s="652"/>
      <c r="G24" s="652"/>
      <c r="H24" s="652"/>
      <c r="I24" s="652"/>
      <c r="J24" s="652"/>
    </row>
    <row r="25" spans="1:10" s="554" customFormat="1" ht="20.25" customHeight="1">
      <c r="A25" s="372"/>
      <c r="B25" s="373" t="s">
        <v>339</v>
      </c>
      <c r="C25" s="815" t="s">
        <v>310</v>
      </c>
      <c r="D25" s="652"/>
      <c r="E25" s="596"/>
      <c r="F25" s="652"/>
      <c r="G25" s="652"/>
      <c r="H25" s="652"/>
      <c r="I25" s="652"/>
      <c r="J25" s="652"/>
    </row>
    <row r="26" spans="1:10" s="487" customFormat="1" ht="20.25" customHeight="1">
      <c r="A26" s="374"/>
      <c r="B26" s="375" t="s">
        <v>343</v>
      </c>
      <c r="C26" s="773"/>
      <c r="D26" s="652"/>
      <c r="E26" s="596"/>
      <c r="F26" s="652"/>
      <c r="G26" s="652"/>
      <c r="H26" s="652"/>
      <c r="I26" s="652"/>
      <c r="J26" s="652"/>
    </row>
    <row r="27" spans="1:10" s="554" customFormat="1" ht="20.25" customHeight="1">
      <c r="A27" s="372"/>
      <c r="B27" s="376" t="s">
        <v>335</v>
      </c>
      <c r="C27" s="773" t="s">
        <v>310</v>
      </c>
      <c r="D27" s="652"/>
      <c r="E27" s="596"/>
      <c r="F27" s="652"/>
      <c r="G27" s="652"/>
      <c r="H27" s="652"/>
      <c r="I27" s="652"/>
      <c r="J27" s="652"/>
    </row>
    <row r="28" spans="1:10" s="557" customFormat="1" ht="20.25" customHeight="1">
      <c r="A28" s="555"/>
      <c r="B28" s="375" t="s">
        <v>338</v>
      </c>
      <c r="C28" s="859"/>
      <c r="D28" s="652"/>
      <c r="E28" s="596"/>
      <c r="F28" s="652"/>
      <c r="G28" s="652"/>
      <c r="H28" s="652"/>
      <c r="I28" s="652"/>
      <c r="J28" s="652"/>
    </row>
    <row r="29" spans="1:10" s="554" customFormat="1" ht="20.25" customHeight="1">
      <c r="A29" s="372"/>
      <c r="B29" s="376" t="s">
        <v>336</v>
      </c>
      <c r="C29" s="773" t="s">
        <v>310</v>
      </c>
      <c r="D29" s="652"/>
      <c r="E29" s="596"/>
      <c r="F29" s="652"/>
      <c r="G29" s="652"/>
      <c r="H29" s="652"/>
      <c r="I29" s="652"/>
      <c r="J29" s="652"/>
    </row>
    <row r="30" spans="1:10" s="557" customFormat="1" ht="20.25" customHeight="1">
      <c r="A30" s="555"/>
      <c r="B30" s="375" t="s">
        <v>338</v>
      </c>
      <c r="C30" s="859"/>
      <c r="D30" s="652"/>
      <c r="E30" s="596"/>
      <c r="F30" s="652"/>
      <c r="G30" s="652"/>
      <c r="H30" s="652"/>
      <c r="I30" s="652"/>
      <c r="J30" s="652"/>
    </row>
    <row r="31" spans="1:10" s="554" customFormat="1" ht="20.25" customHeight="1">
      <c r="A31" s="372"/>
      <c r="B31" s="376" t="s">
        <v>337</v>
      </c>
      <c r="C31" s="773" t="s">
        <v>310</v>
      </c>
      <c r="D31" s="652"/>
      <c r="E31" s="596"/>
      <c r="F31" s="652"/>
      <c r="G31" s="652"/>
      <c r="H31" s="652"/>
      <c r="I31" s="652"/>
      <c r="J31" s="652"/>
    </row>
    <row r="32" spans="1:10" s="557" customFormat="1" ht="20.25" customHeight="1">
      <c r="A32" s="555"/>
      <c r="B32" s="375" t="s">
        <v>338</v>
      </c>
      <c r="C32" s="859"/>
      <c r="D32" s="652"/>
      <c r="E32" s="596"/>
      <c r="F32" s="652"/>
      <c r="G32" s="652"/>
      <c r="H32" s="652"/>
      <c r="I32" s="652"/>
      <c r="J32" s="652"/>
    </row>
    <row r="33" spans="1:10" s="554" customFormat="1" ht="20.25" customHeight="1">
      <c r="A33" s="372"/>
      <c r="B33" s="373" t="s">
        <v>340</v>
      </c>
      <c r="C33" s="815"/>
      <c r="D33" s="652"/>
      <c r="E33" s="596"/>
      <c r="F33" s="652"/>
      <c r="G33" s="652"/>
      <c r="H33" s="652"/>
      <c r="I33" s="652"/>
      <c r="J33" s="652"/>
    </row>
    <row r="34" spans="1:10" s="487" customFormat="1" ht="20.25" customHeight="1">
      <c r="A34" s="374"/>
      <c r="B34" s="376" t="s">
        <v>289</v>
      </c>
      <c r="C34" s="575" t="s">
        <v>303</v>
      </c>
      <c r="D34" s="652">
        <f>'BM1-CTTH'!K35</f>
        <v>30.609999999999996</v>
      </c>
      <c r="E34" s="596">
        <f>SUM(F34:J34)/5</f>
        <v>24.9356</v>
      </c>
      <c r="F34" s="652">
        <v>26.15</v>
      </c>
      <c r="G34" s="652">
        <v>25.598</v>
      </c>
      <c r="H34" s="652">
        <v>25.046</v>
      </c>
      <c r="I34" s="652">
        <v>24.494</v>
      </c>
      <c r="J34" s="652">
        <v>23.39</v>
      </c>
    </row>
    <row r="35" spans="1:10" s="487" customFormat="1" ht="20.25" customHeight="1">
      <c r="A35" s="374"/>
      <c r="B35" s="376" t="s">
        <v>290</v>
      </c>
      <c r="C35" s="575" t="s">
        <v>303</v>
      </c>
      <c r="D35" s="652">
        <f>'BM1-CTTH'!K36</f>
        <v>30.186</v>
      </c>
      <c r="E35" s="596">
        <f>SUM(F35:J35)/5</f>
        <v>32.818</v>
      </c>
      <c r="F35" s="652">
        <v>32.4</v>
      </c>
      <c r="G35" s="652">
        <v>32.589999999999996</v>
      </c>
      <c r="H35" s="652">
        <v>32.779999999999994</v>
      </c>
      <c r="I35" s="652">
        <v>32.96999999999999</v>
      </c>
      <c r="J35" s="652">
        <v>33.35</v>
      </c>
    </row>
    <row r="36" spans="1:10" s="487" customFormat="1" ht="20.25" customHeight="1">
      <c r="A36" s="374"/>
      <c r="B36" s="376" t="s">
        <v>291</v>
      </c>
      <c r="C36" s="575" t="s">
        <v>303</v>
      </c>
      <c r="D36" s="652">
        <f>'BM1-CTTH'!K37</f>
        <v>39.20399999999999</v>
      </c>
      <c r="E36" s="596">
        <f>SUM(F36:J36)/5</f>
        <v>42.2204</v>
      </c>
      <c r="F36" s="652">
        <v>41.449999999999996</v>
      </c>
      <c r="G36" s="652">
        <v>41.812000000000005</v>
      </c>
      <c r="H36" s="652">
        <v>42.174000000000014</v>
      </c>
      <c r="I36" s="652">
        <v>42.53600000000001</v>
      </c>
      <c r="J36" s="652">
        <v>43.13</v>
      </c>
    </row>
    <row r="37" spans="1:10" s="554" customFormat="1" ht="20.25" customHeight="1">
      <c r="A37" s="372">
        <v>4</v>
      </c>
      <c r="B37" s="373" t="s">
        <v>317</v>
      </c>
      <c r="C37" s="574" t="s">
        <v>303</v>
      </c>
      <c r="D37" s="857">
        <f>'BM1-CTTH'!K38</f>
        <v>34.7</v>
      </c>
      <c r="E37" s="661">
        <f>SUM(F37:J37)/5</f>
        <v>33.4</v>
      </c>
      <c r="F37" s="661">
        <v>35</v>
      </c>
      <c r="G37" s="661">
        <v>36</v>
      </c>
      <c r="H37" s="661">
        <v>34</v>
      </c>
      <c r="I37" s="661">
        <v>32</v>
      </c>
      <c r="J37" s="661">
        <v>30</v>
      </c>
    </row>
    <row r="38" spans="1:12" s="554" customFormat="1" ht="20.25" customHeight="1">
      <c r="A38" s="372">
        <v>5</v>
      </c>
      <c r="B38" s="373" t="s">
        <v>341</v>
      </c>
      <c r="C38" s="574" t="s">
        <v>347</v>
      </c>
      <c r="D38" s="857">
        <f>'BM1-CTTH'!K39</f>
        <v>4154.554159785001</v>
      </c>
      <c r="E38" s="661">
        <f>SUM(F38:J38)</f>
        <v>6080.88236546</v>
      </c>
      <c r="F38" s="857">
        <f>F21*F37/100</f>
        <v>1103.8488152999998</v>
      </c>
      <c r="G38" s="857">
        <f>G21*G37/100</f>
        <v>1214.816967</v>
      </c>
      <c r="H38" s="857">
        <f>H21*H37/100</f>
        <v>1233.34376848</v>
      </c>
      <c r="I38" s="857">
        <f>I21*I37/100</f>
        <v>1253.65619968</v>
      </c>
      <c r="J38" s="857">
        <f>J21*J37/100</f>
        <v>1275.2166149999998</v>
      </c>
      <c r="K38" s="860"/>
      <c r="L38" s="858"/>
    </row>
    <row r="39" spans="1:10" s="554" customFormat="1" ht="20.25" customHeight="1">
      <c r="A39" s="372">
        <v>6</v>
      </c>
      <c r="B39" s="376" t="s">
        <v>481</v>
      </c>
      <c r="C39" s="575" t="s">
        <v>5</v>
      </c>
      <c r="D39" s="652"/>
      <c r="E39" s="596"/>
      <c r="F39" s="652"/>
      <c r="G39" s="652"/>
      <c r="H39" s="652"/>
      <c r="I39" s="652"/>
      <c r="J39" s="652"/>
    </row>
    <row r="40" spans="1:10" s="557" customFormat="1" ht="36.75" customHeight="1">
      <c r="A40" s="372">
        <v>7</v>
      </c>
      <c r="B40" s="376" t="s">
        <v>482</v>
      </c>
      <c r="C40" s="577" t="s">
        <v>5</v>
      </c>
      <c r="D40" s="652"/>
      <c r="E40" s="596"/>
      <c r="F40" s="652"/>
      <c r="G40" s="652"/>
      <c r="H40" s="652"/>
      <c r="I40" s="652"/>
      <c r="J40" s="652"/>
    </row>
    <row r="41" spans="1:10" s="554" customFormat="1" ht="33.75" customHeight="1">
      <c r="A41" s="372">
        <v>5</v>
      </c>
      <c r="B41" s="373" t="s">
        <v>318</v>
      </c>
      <c r="C41" s="575" t="s">
        <v>303</v>
      </c>
      <c r="D41" s="652"/>
      <c r="E41" s="596"/>
      <c r="F41" s="652"/>
      <c r="G41" s="652"/>
      <c r="H41" s="652"/>
      <c r="I41" s="652"/>
      <c r="J41" s="652"/>
    </row>
    <row r="42" spans="1:10" s="554" customFormat="1" ht="20.25" customHeight="1">
      <c r="A42" s="372">
        <v>6</v>
      </c>
      <c r="B42" s="373" t="s">
        <v>292</v>
      </c>
      <c r="C42" s="575"/>
      <c r="D42" s="652"/>
      <c r="E42" s="596"/>
      <c r="F42" s="652"/>
      <c r="G42" s="652"/>
      <c r="H42" s="652"/>
      <c r="I42" s="652"/>
      <c r="J42" s="652"/>
    </row>
    <row r="43" spans="1:10" s="487" customFormat="1" ht="20.25" customHeight="1">
      <c r="A43" s="374"/>
      <c r="B43" s="376" t="s">
        <v>293</v>
      </c>
      <c r="C43" s="575" t="s">
        <v>673</v>
      </c>
      <c r="D43" s="652"/>
      <c r="E43" s="596"/>
      <c r="F43" s="652"/>
      <c r="G43" s="652"/>
      <c r="H43" s="652"/>
      <c r="I43" s="652"/>
      <c r="J43" s="652"/>
    </row>
    <row r="44" spans="1:10" s="560" customFormat="1" ht="20.25" customHeight="1">
      <c r="A44" s="374"/>
      <c r="B44" s="375" t="s">
        <v>294</v>
      </c>
      <c r="C44" s="575" t="s">
        <v>303</v>
      </c>
      <c r="D44" s="652"/>
      <c r="E44" s="596"/>
      <c r="F44" s="652"/>
      <c r="G44" s="652"/>
      <c r="H44" s="652"/>
      <c r="I44" s="652"/>
      <c r="J44" s="652"/>
    </row>
    <row r="45" spans="1:10" s="487" customFormat="1" ht="20.25" customHeight="1">
      <c r="A45" s="374"/>
      <c r="B45" s="378" t="s">
        <v>314</v>
      </c>
      <c r="C45" s="575" t="s">
        <v>305</v>
      </c>
      <c r="D45" s="652"/>
      <c r="E45" s="596"/>
      <c r="F45" s="652"/>
      <c r="G45" s="652"/>
      <c r="H45" s="652"/>
      <c r="I45" s="652"/>
      <c r="J45" s="652"/>
    </row>
    <row r="46" spans="1:10" s="487" customFormat="1" ht="20.25" customHeight="1">
      <c r="A46" s="374"/>
      <c r="B46" s="484" t="s">
        <v>295</v>
      </c>
      <c r="C46" s="575" t="s">
        <v>305</v>
      </c>
      <c r="D46" s="652"/>
      <c r="E46" s="596"/>
      <c r="F46" s="652"/>
      <c r="G46" s="652"/>
      <c r="H46" s="652"/>
      <c r="I46" s="652"/>
      <c r="J46" s="652"/>
    </row>
    <row r="47" spans="1:10" s="560" customFormat="1" ht="20.25" customHeight="1">
      <c r="A47" s="374"/>
      <c r="B47" s="375" t="s">
        <v>296</v>
      </c>
      <c r="C47" s="575" t="s">
        <v>303</v>
      </c>
      <c r="D47" s="652"/>
      <c r="E47" s="596"/>
      <c r="F47" s="652"/>
      <c r="G47" s="652"/>
      <c r="H47" s="652"/>
      <c r="I47" s="652"/>
      <c r="J47" s="652"/>
    </row>
    <row r="48" spans="1:10" s="487" customFormat="1" ht="20.25" customHeight="1">
      <c r="A48" s="374"/>
      <c r="B48" s="376" t="s">
        <v>634</v>
      </c>
      <c r="C48" s="773" t="s">
        <v>673</v>
      </c>
      <c r="D48" s="652"/>
      <c r="E48" s="596"/>
      <c r="F48" s="652"/>
      <c r="G48" s="652"/>
      <c r="H48" s="652"/>
      <c r="I48" s="652"/>
      <c r="J48" s="652"/>
    </row>
    <row r="49" spans="1:10" s="487" customFormat="1" ht="36" customHeight="1">
      <c r="A49" s="374"/>
      <c r="B49" s="376" t="s">
        <v>635</v>
      </c>
      <c r="C49" s="657" t="s">
        <v>5</v>
      </c>
      <c r="D49" s="652"/>
      <c r="E49" s="596"/>
      <c r="F49" s="652"/>
      <c r="G49" s="652"/>
      <c r="H49" s="652"/>
      <c r="I49" s="652"/>
      <c r="J49" s="652"/>
    </row>
    <row r="50" spans="1:10" s="487" customFormat="1" ht="20.25" customHeight="1">
      <c r="A50" s="374"/>
      <c r="B50" s="378" t="s">
        <v>300</v>
      </c>
      <c r="C50" s="575" t="s">
        <v>673</v>
      </c>
      <c r="D50" s="652"/>
      <c r="E50" s="596"/>
      <c r="F50" s="652"/>
      <c r="G50" s="652"/>
      <c r="H50" s="652"/>
      <c r="I50" s="652"/>
      <c r="J50" s="652"/>
    </row>
    <row r="51" spans="1:10" s="487" customFormat="1" ht="20.25" customHeight="1">
      <c r="A51" s="622">
        <v>7</v>
      </c>
      <c r="B51" s="376" t="s">
        <v>526</v>
      </c>
      <c r="C51" s="657"/>
      <c r="D51" s="861">
        <v>3921</v>
      </c>
      <c r="E51" s="861">
        <f>SUM(F51:J51)</f>
        <v>5628.9022</v>
      </c>
      <c r="F51" s="862">
        <f>0.922*1000</f>
        <v>922</v>
      </c>
      <c r="G51" s="862">
        <f>1.0142*1000</f>
        <v>1014.2</v>
      </c>
      <c r="H51" s="862">
        <f>1.11562*1000</f>
        <v>1115.6200000000001</v>
      </c>
      <c r="I51" s="862">
        <f>1.227182*1000</f>
        <v>1227.182</v>
      </c>
      <c r="J51" s="862">
        <f>1.3499002*1000</f>
        <v>1349.9002</v>
      </c>
    </row>
    <row r="52" spans="1:10" s="487" customFormat="1" ht="20.25" customHeight="1">
      <c r="A52" s="526"/>
      <c r="B52" s="378" t="s">
        <v>527</v>
      </c>
      <c r="C52" s="657" t="s">
        <v>347</v>
      </c>
      <c r="D52" s="861">
        <v>247.89999999999998</v>
      </c>
      <c r="E52" s="861">
        <f>SUM(F52:J52)</f>
        <v>268.62440000000004</v>
      </c>
      <c r="F52" s="862">
        <f>0.044*1000</f>
        <v>44</v>
      </c>
      <c r="G52" s="862">
        <f>0.0484*1000</f>
        <v>48.4</v>
      </c>
      <c r="H52" s="862">
        <f>0.05324*1000</f>
        <v>53.24</v>
      </c>
      <c r="I52" s="862">
        <f>0.058564*1000</f>
        <v>58.564</v>
      </c>
      <c r="J52" s="862">
        <f>0.0644204*1000</f>
        <v>64.4204</v>
      </c>
    </row>
    <row r="53" spans="1:10" s="487" customFormat="1" ht="20.25" customHeight="1">
      <c r="A53" s="622"/>
      <c r="B53" s="378" t="s">
        <v>528</v>
      </c>
      <c r="C53" s="657" t="s">
        <v>347</v>
      </c>
      <c r="D53" s="861">
        <v>247.89999999999998</v>
      </c>
      <c r="E53" s="861">
        <f>SUM(F53:J53)</f>
        <v>268.62440000000004</v>
      </c>
      <c r="F53" s="862">
        <f>0.044*1000</f>
        <v>44</v>
      </c>
      <c r="G53" s="862">
        <f>0.0484*1000</f>
        <v>48.4</v>
      </c>
      <c r="H53" s="862">
        <f>0.05324*1000</f>
        <v>53.24</v>
      </c>
      <c r="I53" s="862">
        <f>0.058564*1000</f>
        <v>58.564</v>
      </c>
      <c r="J53" s="862">
        <f>0.0644204*1000</f>
        <v>64.4204</v>
      </c>
    </row>
    <row r="54" spans="1:10" s="487" customFormat="1" ht="20.25" customHeight="1">
      <c r="A54" s="526"/>
      <c r="B54" s="375" t="s">
        <v>214</v>
      </c>
      <c r="C54" s="657"/>
      <c r="D54" s="863"/>
      <c r="E54" s="863"/>
      <c r="F54" s="864"/>
      <c r="G54" s="864"/>
      <c r="H54" s="864"/>
      <c r="I54" s="864"/>
      <c r="J54" s="865"/>
    </row>
    <row r="55" spans="1:10" s="487" customFormat="1" ht="20.25" customHeight="1">
      <c r="A55" s="526"/>
      <c r="B55" s="378" t="s">
        <v>529</v>
      </c>
      <c r="C55" s="657" t="s">
        <v>347</v>
      </c>
      <c r="D55" s="861">
        <v>80.94</v>
      </c>
      <c r="E55" s="861">
        <f>SUM(F55:J55)</f>
        <v>98</v>
      </c>
      <c r="F55" s="862">
        <v>18</v>
      </c>
      <c r="G55" s="862">
        <v>20</v>
      </c>
      <c r="H55" s="862">
        <v>20</v>
      </c>
      <c r="I55" s="862">
        <v>20</v>
      </c>
      <c r="J55" s="862">
        <v>20</v>
      </c>
    </row>
    <row r="56" spans="1:10" s="487" customFormat="1" ht="20.25" customHeight="1">
      <c r="A56" s="622"/>
      <c r="B56" s="378" t="s">
        <v>530</v>
      </c>
      <c r="C56" s="657" t="s">
        <v>347</v>
      </c>
      <c r="D56" s="863"/>
      <c r="E56" s="863"/>
      <c r="F56" s="864"/>
      <c r="G56" s="864"/>
      <c r="H56" s="864"/>
      <c r="I56" s="864"/>
      <c r="J56" s="865"/>
    </row>
    <row r="57" spans="1:10" s="487" customFormat="1" ht="36" customHeight="1">
      <c r="A57" s="374"/>
      <c r="B57" s="376" t="s">
        <v>531</v>
      </c>
      <c r="C57" s="657" t="s">
        <v>347</v>
      </c>
      <c r="D57" s="861">
        <v>228.87</v>
      </c>
      <c r="E57" s="861">
        <f>SUM(F57:J57)</f>
        <v>251.835375</v>
      </c>
      <c r="F57" s="862">
        <f>'[7]Tổng hợp lập dự toán'!$D$11</f>
        <v>41.25</v>
      </c>
      <c r="G57" s="862">
        <f>F57+(F57*10%)</f>
        <v>45.375</v>
      </c>
      <c r="H57" s="862">
        <f>G57+(G57*10%)</f>
        <v>49.9125</v>
      </c>
      <c r="I57" s="862">
        <f>H57+(H57*10%)</f>
        <v>54.90375</v>
      </c>
      <c r="J57" s="862">
        <f>I57+(I57*10%)</f>
        <v>60.394125</v>
      </c>
    </row>
    <row r="58" spans="1:10" s="487" customFormat="1" ht="20.25" customHeight="1">
      <c r="A58" s="526"/>
      <c r="B58" s="375" t="s">
        <v>214</v>
      </c>
      <c r="C58" s="657"/>
      <c r="D58" s="863"/>
      <c r="E58" s="863"/>
      <c r="F58" s="864"/>
      <c r="G58" s="864"/>
      <c r="H58" s="864"/>
      <c r="I58" s="864"/>
      <c r="J58" s="865"/>
    </row>
    <row r="59" spans="1:10" s="487" customFormat="1" ht="20.25" customHeight="1">
      <c r="A59" s="526"/>
      <c r="B59" s="378" t="s">
        <v>532</v>
      </c>
      <c r="C59" s="657" t="s">
        <v>347</v>
      </c>
      <c r="D59" s="861">
        <v>228.87</v>
      </c>
      <c r="E59" s="861">
        <f>SUM(F59:J59)</f>
        <v>251.835375</v>
      </c>
      <c r="F59" s="862">
        <f>'[7]Tổng hợp lập dự toán'!$D$11</f>
        <v>41.25</v>
      </c>
      <c r="G59" s="862">
        <f>F59+(F59*10%)</f>
        <v>45.375</v>
      </c>
      <c r="H59" s="862">
        <f>G59+(G59*10%)</f>
        <v>49.9125</v>
      </c>
      <c r="I59" s="862">
        <f>H59+(H59*10%)</f>
        <v>54.90375</v>
      </c>
      <c r="J59" s="862">
        <f>I59+(I59*10%)</f>
        <v>60.394125</v>
      </c>
    </row>
    <row r="60" spans="1:10" s="487" customFormat="1" ht="36" customHeight="1">
      <c r="A60" s="374"/>
      <c r="B60" s="376" t="s">
        <v>533</v>
      </c>
      <c r="C60" s="657" t="s">
        <v>347</v>
      </c>
      <c r="D60" s="863"/>
      <c r="E60" s="861"/>
      <c r="F60" s="864"/>
      <c r="G60" s="864"/>
      <c r="H60" s="864"/>
      <c r="I60" s="864"/>
      <c r="J60" s="865"/>
    </row>
    <row r="61" spans="1:10" s="487" customFormat="1" ht="20.25" customHeight="1">
      <c r="A61" s="622">
        <v>9</v>
      </c>
      <c r="B61" s="376" t="s">
        <v>534</v>
      </c>
      <c r="C61" s="657" t="s">
        <v>347</v>
      </c>
      <c r="D61" s="861">
        <v>3919.84</v>
      </c>
      <c r="E61" s="861">
        <f>SUM(F61:J61)</f>
        <v>5628.9022</v>
      </c>
      <c r="F61" s="862">
        <f>0.922*1000</f>
        <v>922</v>
      </c>
      <c r="G61" s="862">
        <f>1.0142*1000</f>
        <v>1014.2</v>
      </c>
      <c r="H61" s="862">
        <f>1.11562*1000</f>
        <v>1115.6200000000001</v>
      </c>
      <c r="I61" s="862">
        <f>1.227182*1000</f>
        <v>1227.182</v>
      </c>
      <c r="J61" s="862">
        <f>1.3499002*1000</f>
        <v>1349.9002</v>
      </c>
    </row>
    <row r="62" spans="1:10" s="487" customFormat="1" ht="20.25" customHeight="1">
      <c r="A62" s="526"/>
      <c r="B62" s="378" t="s">
        <v>535</v>
      </c>
      <c r="C62" s="657" t="s">
        <v>347</v>
      </c>
      <c r="D62" s="861">
        <v>3142.1569999999997</v>
      </c>
      <c r="E62" s="861">
        <f>SUM(F62:J62)</f>
        <v>4649.6804109</v>
      </c>
      <c r="F62" s="861">
        <f>F64+F65</f>
        <v>763.359</v>
      </c>
      <c r="G62" s="861">
        <f>G64+G65</f>
        <v>839.8749</v>
      </c>
      <c r="H62" s="861">
        <f>H64+H65</f>
        <v>922.06239</v>
      </c>
      <c r="I62" s="861">
        <f>I64+I65</f>
        <v>1012.4686290000001</v>
      </c>
      <c r="J62" s="861">
        <f>J64+J65</f>
        <v>1111.9154919</v>
      </c>
    </row>
    <row r="63" spans="1:10" s="487" customFormat="1" ht="20.25" customHeight="1">
      <c r="A63" s="526"/>
      <c r="B63" s="375" t="s">
        <v>214</v>
      </c>
      <c r="C63" s="657"/>
      <c r="D63" s="861"/>
      <c r="E63" s="861"/>
      <c r="F63" s="864"/>
      <c r="G63" s="864"/>
      <c r="H63" s="864"/>
      <c r="I63" s="864"/>
      <c r="J63" s="865"/>
    </row>
    <row r="64" spans="1:11" s="487" customFormat="1" ht="20.25" customHeight="1">
      <c r="A64" s="622"/>
      <c r="B64" s="378" t="s">
        <v>536</v>
      </c>
      <c r="C64" s="657" t="s">
        <v>347</v>
      </c>
      <c r="D64" s="861">
        <v>61.410000000000004</v>
      </c>
      <c r="E64" s="861">
        <f>SUM(F64:J64)</f>
        <v>88.2</v>
      </c>
      <c r="F64" s="862">
        <f>F55*90%</f>
        <v>16.2</v>
      </c>
      <c r="G64" s="862">
        <f>G55*90%</f>
        <v>18</v>
      </c>
      <c r="H64" s="862">
        <f>H55*90%</f>
        <v>18</v>
      </c>
      <c r="I64" s="862">
        <f>I55*90%</f>
        <v>18</v>
      </c>
      <c r="J64" s="862">
        <f>J55*90%</f>
        <v>18</v>
      </c>
      <c r="K64" s="668"/>
    </row>
    <row r="65" spans="1:10" s="487" customFormat="1" ht="36" customHeight="1">
      <c r="A65" s="374"/>
      <c r="B65" s="376" t="s">
        <v>537</v>
      </c>
      <c r="C65" s="657" t="s">
        <v>347</v>
      </c>
      <c r="D65" s="861">
        <v>3080.74</v>
      </c>
      <c r="E65" s="861">
        <f>SUM(F65:J65)</f>
        <v>4561.4804109</v>
      </c>
      <c r="F65" s="862">
        <v>747.159</v>
      </c>
      <c r="G65" s="862">
        <f>F65+(F65*10%)</f>
        <v>821.8749</v>
      </c>
      <c r="H65" s="862">
        <f>G65+(G65*10%)</f>
        <v>904.06239</v>
      </c>
      <c r="I65" s="862">
        <f>H65+(H65*10%)</f>
        <v>994.4686290000001</v>
      </c>
      <c r="J65" s="862">
        <f>I65+(I65*10%)</f>
        <v>1093.9154919</v>
      </c>
    </row>
    <row r="66" spans="1:10" s="554" customFormat="1" ht="20.25" customHeight="1">
      <c r="A66" s="372">
        <v>7</v>
      </c>
      <c r="B66" s="373" t="s">
        <v>278</v>
      </c>
      <c r="C66" s="575" t="s">
        <v>303</v>
      </c>
      <c r="D66" s="652"/>
      <c r="E66" s="596"/>
      <c r="F66" s="652"/>
      <c r="G66" s="652"/>
      <c r="H66" s="652"/>
      <c r="I66" s="652"/>
      <c r="J66" s="652"/>
    </row>
    <row r="67" spans="1:10" s="554" customFormat="1" ht="20.25" customHeight="1">
      <c r="A67" s="372" t="s">
        <v>11</v>
      </c>
      <c r="B67" s="373" t="s">
        <v>297</v>
      </c>
      <c r="C67" s="575"/>
      <c r="D67" s="652"/>
      <c r="E67" s="596"/>
      <c r="F67" s="652"/>
      <c r="G67" s="652"/>
      <c r="H67" s="652"/>
      <c r="I67" s="652"/>
      <c r="J67" s="652"/>
    </row>
    <row r="68" spans="1:10" s="487" customFormat="1" ht="20.25" customHeight="1">
      <c r="A68" s="374">
        <v>1</v>
      </c>
      <c r="B68" s="378" t="s">
        <v>301</v>
      </c>
      <c r="C68" s="576" t="s">
        <v>409</v>
      </c>
      <c r="D68" s="866">
        <f>'BM1-CTTH'!K68</f>
        <v>89625</v>
      </c>
      <c r="E68" s="603">
        <f>SUM(F68:J68)/5</f>
        <v>93516</v>
      </c>
      <c r="F68" s="866">
        <v>90830</v>
      </c>
      <c r="G68" s="866">
        <v>92130</v>
      </c>
      <c r="H68" s="866">
        <v>93460</v>
      </c>
      <c r="I68" s="866">
        <v>94870</v>
      </c>
      <c r="J68" s="866">
        <v>96290</v>
      </c>
    </row>
    <row r="69" spans="1:10" s="487" customFormat="1" ht="20.25" customHeight="1">
      <c r="A69" s="374">
        <v>2</v>
      </c>
      <c r="B69" s="378" t="s">
        <v>322</v>
      </c>
      <c r="C69" s="576" t="s">
        <v>303</v>
      </c>
      <c r="D69" s="652">
        <v>1.5</v>
      </c>
      <c r="E69" s="596">
        <f>SUM(F69:J69)/5</f>
        <v>1.4460000000000002</v>
      </c>
      <c r="F69" s="652">
        <v>1.35</v>
      </c>
      <c r="G69" s="652">
        <v>1.43</v>
      </c>
      <c r="H69" s="652">
        <v>1.45</v>
      </c>
      <c r="I69" s="652">
        <v>1.5</v>
      </c>
      <c r="J69" s="652">
        <v>1.5</v>
      </c>
    </row>
    <row r="70" spans="1:10" s="487" customFormat="1" ht="20.25" customHeight="1">
      <c r="A70" s="374">
        <v>3</v>
      </c>
      <c r="B70" s="376" t="s">
        <v>543</v>
      </c>
      <c r="C70" s="657"/>
      <c r="D70" s="866">
        <v>6336</v>
      </c>
      <c r="E70" s="603">
        <v>2538</v>
      </c>
      <c r="F70" s="866">
        <v>5576</v>
      </c>
      <c r="G70" s="866">
        <v>4817</v>
      </c>
      <c r="H70" s="866">
        <v>4057</v>
      </c>
      <c r="I70" s="866">
        <v>3298</v>
      </c>
      <c r="J70" s="866">
        <v>2538</v>
      </c>
    </row>
    <row r="71" spans="1:10" s="487" customFormat="1" ht="20.25" customHeight="1">
      <c r="A71" s="622"/>
      <c r="B71" s="378" t="s">
        <v>544</v>
      </c>
      <c r="C71" s="657" t="s">
        <v>5</v>
      </c>
      <c r="D71" s="652">
        <v>33.37</v>
      </c>
      <c r="E71" s="596">
        <v>13.37</v>
      </c>
      <c r="F71" s="652">
        <v>29.37</v>
      </c>
      <c r="G71" s="652">
        <v>25.37</v>
      </c>
      <c r="H71" s="652">
        <v>21.37</v>
      </c>
      <c r="I71" s="652">
        <v>17.37</v>
      </c>
      <c r="J71" s="652">
        <v>13.37</v>
      </c>
    </row>
    <row r="72" spans="1:10" s="487" customFormat="1" ht="36" customHeight="1">
      <c r="A72" s="374"/>
      <c r="B72" s="376" t="s">
        <v>545</v>
      </c>
      <c r="C72" s="657" t="s">
        <v>5</v>
      </c>
      <c r="D72" s="652">
        <v>5</v>
      </c>
      <c r="E72" s="596">
        <v>4</v>
      </c>
      <c r="F72" s="652">
        <v>4</v>
      </c>
      <c r="G72" s="652">
        <v>4</v>
      </c>
      <c r="H72" s="652">
        <v>4</v>
      </c>
      <c r="I72" s="652">
        <v>4</v>
      </c>
      <c r="J72" s="652">
        <v>4</v>
      </c>
    </row>
    <row r="73" spans="1:10" s="487" customFormat="1" ht="20.25" customHeight="1">
      <c r="A73" s="374">
        <v>4</v>
      </c>
      <c r="B73" s="378" t="s">
        <v>307</v>
      </c>
      <c r="C73" s="575" t="s">
        <v>409</v>
      </c>
      <c r="D73" s="866">
        <v>4146</v>
      </c>
      <c r="E73" s="603">
        <v>5000</v>
      </c>
      <c r="F73" s="866">
        <v>1000</v>
      </c>
      <c r="G73" s="866">
        <v>1000</v>
      </c>
      <c r="H73" s="866">
        <v>1000</v>
      </c>
      <c r="I73" s="866">
        <v>1000</v>
      </c>
      <c r="J73" s="866">
        <v>1000</v>
      </c>
    </row>
    <row r="74" spans="1:10" s="487" customFormat="1" ht="36" customHeight="1">
      <c r="A74" s="374">
        <v>5</v>
      </c>
      <c r="B74" s="376" t="s">
        <v>483</v>
      </c>
      <c r="C74" s="657" t="s">
        <v>5</v>
      </c>
      <c r="D74" s="652">
        <v>71.6</v>
      </c>
      <c r="E74" s="596">
        <v>65</v>
      </c>
      <c r="F74" s="652">
        <v>70.4</v>
      </c>
      <c r="G74" s="652">
        <v>69.1</v>
      </c>
      <c r="H74" s="652">
        <v>67.9</v>
      </c>
      <c r="I74" s="652">
        <v>65.7</v>
      </c>
      <c r="J74" s="652">
        <v>65</v>
      </c>
    </row>
    <row r="75" spans="1:10" s="487" customFormat="1" ht="36" customHeight="1">
      <c r="A75" s="374">
        <v>6</v>
      </c>
      <c r="B75" s="376" t="s">
        <v>308</v>
      </c>
      <c r="C75" s="657" t="s">
        <v>303</v>
      </c>
      <c r="D75" s="652" t="s">
        <v>654</v>
      </c>
      <c r="E75" s="596" t="s">
        <v>655</v>
      </c>
      <c r="F75" s="652">
        <v>54.7</v>
      </c>
      <c r="G75" s="652">
        <v>55.9</v>
      </c>
      <c r="H75" s="652">
        <v>57.8</v>
      </c>
      <c r="I75" s="652">
        <v>59.7</v>
      </c>
      <c r="J75" s="652" t="s">
        <v>655</v>
      </c>
    </row>
    <row r="76" spans="1:10" s="487" customFormat="1" ht="20.25" customHeight="1">
      <c r="A76" s="374" t="s">
        <v>284</v>
      </c>
      <c r="B76" s="378" t="s">
        <v>484</v>
      </c>
      <c r="C76" s="575" t="s">
        <v>303</v>
      </c>
      <c r="D76" s="652"/>
      <c r="E76" s="596"/>
      <c r="F76" s="652"/>
      <c r="G76" s="652"/>
      <c r="H76" s="652"/>
      <c r="I76" s="652"/>
      <c r="J76" s="652"/>
    </row>
    <row r="77" spans="1:10" s="487" customFormat="1" ht="20.25" customHeight="1">
      <c r="A77" s="374">
        <v>7</v>
      </c>
      <c r="B77" s="378" t="s">
        <v>309</v>
      </c>
      <c r="C77" s="575" t="s">
        <v>303</v>
      </c>
      <c r="D77" s="652">
        <v>2.5</v>
      </c>
      <c r="E77" s="596">
        <v>1</v>
      </c>
      <c r="F77" s="652">
        <v>2.5</v>
      </c>
      <c r="G77" s="652">
        <v>2.1</v>
      </c>
      <c r="H77" s="652">
        <v>1.8</v>
      </c>
      <c r="I77" s="652">
        <v>1.5</v>
      </c>
      <c r="J77" s="652">
        <v>1</v>
      </c>
    </row>
    <row r="78" spans="1:10" s="487" customFormat="1" ht="20.25" customHeight="1">
      <c r="A78" s="374"/>
      <c r="B78" s="378" t="s">
        <v>334</v>
      </c>
      <c r="C78" s="575"/>
      <c r="D78" s="596"/>
      <c r="E78" s="596"/>
      <c r="F78" s="505"/>
      <c r="G78" s="505"/>
      <c r="H78" s="505"/>
      <c r="I78" s="505"/>
      <c r="J78" s="505"/>
    </row>
    <row r="79" spans="1:10" s="487" customFormat="1" ht="20.25" customHeight="1">
      <c r="A79" s="374">
        <v>8</v>
      </c>
      <c r="B79" s="378" t="s">
        <v>302</v>
      </c>
      <c r="C79" s="575" t="s">
        <v>316</v>
      </c>
      <c r="D79" s="596"/>
      <c r="E79" s="596"/>
      <c r="F79" s="505"/>
      <c r="G79" s="505"/>
      <c r="H79" s="505"/>
      <c r="I79" s="505"/>
      <c r="J79" s="505"/>
    </row>
    <row r="80" spans="1:10" s="378" customFormat="1" ht="20.25" customHeight="1">
      <c r="A80" s="378">
        <v>9</v>
      </c>
      <c r="B80" s="378" t="s">
        <v>485</v>
      </c>
      <c r="C80" s="578" t="s">
        <v>487</v>
      </c>
      <c r="D80" s="652"/>
      <c r="E80" s="652"/>
      <c r="F80" s="652"/>
      <c r="G80" s="652"/>
      <c r="H80" s="652"/>
      <c r="I80" s="652"/>
      <c r="J80" s="652"/>
    </row>
    <row r="81" spans="1:10" s="487" customFormat="1" ht="36" customHeight="1">
      <c r="A81" s="374">
        <v>10</v>
      </c>
      <c r="B81" s="376" t="s">
        <v>489</v>
      </c>
      <c r="C81" s="657" t="s">
        <v>488</v>
      </c>
      <c r="D81" s="652"/>
      <c r="E81" s="596"/>
      <c r="F81" s="652"/>
      <c r="G81" s="652"/>
      <c r="H81" s="652"/>
      <c r="I81" s="652"/>
      <c r="J81" s="652"/>
    </row>
    <row r="82" spans="1:10" s="487" customFormat="1" ht="36" customHeight="1">
      <c r="A82" s="374"/>
      <c r="B82" s="376" t="s">
        <v>486</v>
      </c>
      <c r="C82" s="657" t="s">
        <v>5</v>
      </c>
      <c r="D82" s="652"/>
      <c r="E82" s="596"/>
      <c r="F82" s="652"/>
      <c r="G82" s="652"/>
      <c r="H82" s="652"/>
      <c r="I82" s="652"/>
      <c r="J82" s="652"/>
    </row>
    <row r="83" spans="1:10" s="554" customFormat="1" ht="32.25" customHeight="1">
      <c r="A83" s="372" t="s">
        <v>15</v>
      </c>
      <c r="B83" s="373" t="s">
        <v>311</v>
      </c>
      <c r="C83" s="578"/>
      <c r="D83" s="661"/>
      <c r="E83" s="661"/>
      <c r="F83" s="431"/>
      <c r="G83" s="431"/>
      <c r="H83" s="431"/>
      <c r="I83" s="431"/>
      <c r="J83" s="431"/>
    </row>
    <row r="84" spans="1:10" s="487" customFormat="1" ht="20.25" customHeight="1">
      <c r="A84" s="379"/>
      <c r="B84" s="378" t="s">
        <v>331</v>
      </c>
      <c r="C84" s="578" t="s">
        <v>5</v>
      </c>
      <c r="D84" s="652">
        <f>'BM1-CTTH'!K84</f>
        <v>35.94</v>
      </c>
      <c r="E84" s="596">
        <f aca="true" t="shared" si="4" ref="E84:E90">SUM(F84:J84)/5</f>
        <v>41</v>
      </c>
      <c r="F84" s="652">
        <v>39</v>
      </c>
      <c r="G84" s="652">
        <v>40</v>
      </c>
      <c r="H84" s="652">
        <v>41</v>
      </c>
      <c r="I84" s="652">
        <v>42</v>
      </c>
      <c r="J84" s="652">
        <v>43</v>
      </c>
    </row>
    <row r="85" spans="1:10" s="487" customFormat="1" ht="36" customHeight="1">
      <c r="A85" s="374"/>
      <c r="B85" s="376" t="s">
        <v>312</v>
      </c>
      <c r="C85" s="657" t="s">
        <v>5</v>
      </c>
      <c r="D85" s="652">
        <f>'[6]BM1-CTTH'!K85</f>
        <v>91.16</v>
      </c>
      <c r="E85" s="596">
        <v>100</v>
      </c>
      <c r="F85" s="596">
        <v>100</v>
      </c>
      <c r="G85" s="596">
        <v>100</v>
      </c>
      <c r="H85" s="596">
        <v>100</v>
      </c>
      <c r="I85" s="596">
        <v>100</v>
      </c>
      <c r="J85" s="596">
        <v>100</v>
      </c>
    </row>
    <row r="86" spans="1:10" s="487" customFormat="1" ht="36" customHeight="1">
      <c r="A86" s="374"/>
      <c r="B86" s="376" t="s">
        <v>313</v>
      </c>
      <c r="C86" s="657" t="s">
        <v>5</v>
      </c>
      <c r="D86" s="652">
        <f>'BM1-CTTH'!K86</f>
        <v>100</v>
      </c>
      <c r="E86" s="596">
        <f t="shared" si="4"/>
        <v>100</v>
      </c>
      <c r="F86" s="596">
        <v>100</v>
      </c>
      <c r="G86" s="596">
        <v>100</v>
      </c>
      <c r="H86" s="596">
        <v>100</v>
      </c>
      <c r="I86" s="596">
        <v>100</v>
      </c>
      <c r="J86" s="596">
        <v>100</v>
      </c>
    </row>
    <row r="87" spans="1:10" s="487" customFormat="1" ht="51" customHeight="1">
      <c r="A87" s="374"/>
      <c r="B87" s="376" t="s">
        <v>299</v>
      </c>
      <c r="C87" s="657" t="s">
        <v>5</v>
      </c>
      <c r="D87" s="652"/>
      <c r="E87" s="596"/>
      <c r="F87" s="652"/>
      <c r="G87" s="652"/>
      <c r="H87" s="652"/>
      <c r="I87" s="652"/>
      <c r="J87" s="652"/>
    </row>
    <row r="88" spans="1:10" s="487" customFormat="1" ht="20.25" customHeight="1">
      <c r="A88" s="379"/>
      <c r="B88" s="378" t="s">
        <v>315</v>
      </c>
      <c r="C88" s="578" t="s">
        <v>5</v>
      </c>
      <c r="D88" s="652">
        <f>'BM1-CTTH'!K88</f>
        <v>100</v>
      </c>
      <c r="E88" s="596">
        <f t="shared" si="4"/>
        <v>100</v>
      </c>
      <c r="F88" s="652">
        <v>100</v>
      </c>
      <c r="G88" s="652">
        <v>100</v>
      </c>
      <c r="H88" s="652">
        <v>100</v>
      </c>
      <c r="I88" s="652">
        <v>100</v>
      </c>
      <c r="J88" s="652">
        <v>100</v>
      </c>
    </row>
    <row r="89" spans="1:10" s="487" customFormat="1" ht="36" customHeight="1">
      <c r="A89" s="374"/>
      <c r="B89" s="376" t="s">
        <v>472</v>
      </c>
      <c r="C89" s="657" t="s">
        <v>5</v>
      </c>
      <c r="D89" s="652">
        <f>'BM1-CTTH'!K89</f>
        <v>100</v>
      </c>
      <c r="E89" s="596">
        <f t="shared" si="4"/>
        <v>100</v>
      </c>
      <c r="F89" s="652">
        <v>100</v>
      </c>
      <c r="G89" s="652">
        <v>100</v>
      </c>
      <c r="H89" s="652">
        <v>100</v>
      </c>
      <c r="I89" s="652">
        <v>100</v>
      </c>
      <c r="J89" s="652">
        <v>100</v>
      </c>
    </row>
    <row r="90" spans="1:10" s="487" customFormat="1" ht="36" customHeight="1">
      <c r="A90" s="374"/>
      <c r="B90" s="376" t="s">
        <v>538</v>
      </c>
      <c r="C90" s="657" t="s">
        <v>5</v>
      </c>
      <c r="D90" s="652">
        <f>'BM1-CTTH'!K90</f>
        <v>100</v>
      </c>
      <c r="E90" s="596">
        <f t="shared" si="4"/>
        <v>100</v>
      </c>
      <c r="F90" s="652">
        <v>100</v>
      </c>
      <c r="G90" s="652">
        <v>100</v>
      </c>
      <c r="H90" s="652">
        <v>100</v>
      </c>
      <c r="I90" s="652">
        <v>100</v>
      </c>
      <c r="J90" s="652">
        <v>100</v>
      </c>
    </row>
    <row r="91" spans="1:10" s="554" customFormat="1" ht="20.25" customHeight="1">
      <c r="A91" s="372" t="s">
        <v>18</v>
      </c>
      <c r="B91" s="369" t="s">
        <v>539</v>
      </c>
      <c r="C91" s="502"/>
      <c r="D91" s="661"/>
      <c r="E91" s="661"/>
      <c r="F91" s="431"/>
      <c r="G91" s="431"/>
      <c r="H91" s="431"/>
      <c r="I91" s="431"/>
      <c r="J91" s="431"/>
    </row>
    <row r="92" spans="1:10" s="487" customFormat="1" ht="20.25" customHeight="1">
      <c r="A92" s="526"/>
      <c r="B92" s="376" t="s">
        <v>540</v>
      </c>
      <c r="C92" s="657" t="s">
        <v>362</v>
      </c>
      <c r="D92" s="596"/>
      <c r="E92" s="603">
        <v>3</v>
      </c>
      <c r="F92" s="505"/>
      <c r="G92" s="505"/>
      <c r="H92" s="505"/>
      <c r="I92" s="505"/>
      <c r="J92" s="605">
        <v>3</v>
      </c>
    </row>
    <row r="93" spans="1:10" s="487" customFormat="1" ht="20.25" customHeight="1">
      <c r="A93" s="622"/>
      <c r="B93" s="376" t="s">
        <v>541</v>
      </c>
      <c r="C93" s="657" t="s">
        <v>5</v>
      </c>
      <c r="D93" s="596"/>
      <c r="E93" s="505">
        <f>E92/18*100</f>
        <v>16.666666666666664</v>
      </c>
      <c r="F93" s="505"/>
      <c r="G93" s="505"/>
      <c r="H93" s="505"/>
      <c r="I93" s="505"/>
      <c r="J93" s="505">
        <f>J92/18*100</f>
        <v>16.666666666666664</v>
      </c>
    </row>
    <row r="94" spans="1:10" s="487" customFormat="1" ht="36" customHeight="1">
      <c r="A94" s="374"/>
      <c r="B94" s="376" t="s">
        <v>542</v>
      </c>
      <c r="C94" s="657" t="s">
        <v>5</v>
      </c>
      <c r="D94" s="652"/>
      <c r="E94" s="596"/>
      <c r="F94" s="652"/>
      <c r="G94" s="652"/>
      <c r="H94" s="652"/>
      <c r="I94" s="652"/>
      <c r="J94" s="652"/>
    </row>
    <row r="95" spans="1:10" s="487" customFormat="1" ht="20.25" customHeight="1">
      <c r="A95" s="622" t="s">
        <v>492</v>
      </c>
      <c r="B95" s="378" t="s">
        <v>551</v>
      </c>
      <c r="C95" s="657" t="s">
        <v>5</v>
      </c>
      <c r="D95" s="596"/>
      <c r="E95" s="596"/>
      <c r="F95" s="505"/>
      <c r="G95" s="505"/>
      <c r="H95" s="505"/>
      <c r="I95" s="505"/>
      <c r="J95" s="505"/>
    </row>
    <row r="96" spans="1:10" ht="44.25" customHeight="1">
      <c r="A96" s="483"/>
      <c r="B96" s="486"/>
      <c r="C96" s="527"/>
      <c r="D96" s="527"/>
      <c r="E96" s="527"/>
      <c r="F96" s="487"/>
      <c r="G96" s="487"/>
      <c r="H96" s="487"/>
      <c r="I96" s="487"/>
      <c r="J96" s="487"/>
    </row>
    <row r="97" spans="1:10" ht="44.25" customHeight="1">
      <c r="A97" s="483"/>
      <c r="B97" s="486"/>
      <c r="C97" s="527"/>
      <c r="D97" s="527"/>
      <c r="E97" s="527"/>
      <c r="F97" s="487"/>
      <c r="G97" s="487"/>
      <c r="H97" s="487"/>
      <c r="I97" s="487"/>
      <c r="J97" s="487"/>
    </row>
    <row r="98" spans="1:10" ht="44.25" customHeight="1">
      <c r="A98" s="483"/>
      <c r="B98" s="486"/>
      <c r="C98" s="527"/>
      <c r="D98" s="527"/>
      <c r="E98" s="527"/>
      <c r="F98" s="487"/>
      <c r="G98" s="487"/>
      <c r="H98" s="487"/>
      <c r="I98" s="487"/>
      <c r="J98" s="487"/>
    </row>
    <row r="99" spans="1:10" ht="44.25" customHeight="1">
      <c r="A99" s="483"/>
      <c r="B99" s="486"/>
      <c r="C99" s="527"/>
      <c r="D99" s="527"/>
      <c r="E99" s="527"/>
      <c r="F99" s="487"/>
      <c r="G99" s="487"/>
      <c r="H99" s="487"/>
      <c r="I99" s="487"/>
      <c r="J99" s="487"/>
    </row>
    <row r="100" spans="1:10" ht="44.25" customHeight="1">
      <c r="A100" s="483"/>
      <c r="B100" s="486"/>
      <c r="C100" s="527"/>
      <c r="D100" s="527"/>
      <c r="E100" s="527"/>
      <c r="F100" s="487"/>
      <c r="G100" s="487"/>
      <c r="H100" s="487"/>
      <c r="I100" s="487"/>
      <c r="J100" s="487"/>
    </row>
    <row r="101" spans="1:10" ht="44.25" customHeight="1">
      <c r="A101" s="483"/>
      <c r="B101" s="486"/>
      <c r="C101" s="527"/>
      <c r="D101" s="527"/>
      <c r="E101" s="527"/>
      <c r="F101" s="487"/>
      <c r="G101" s="487"/>
      <c r="H101" s="487"/>
      <c r="I101" s="487"/>
      <c r="J101" s="487"/>
    </row>
    <row r="102" spans="1:10" ht="44.25" customHeight="1">
      <c r="A102" s="483"/>
      <c r="B102" s="486"/>
      <c r="C102" s="527"/>
      <c r="D102" s="527"/>
      <c r="E102" s="527"/>
      <c r="F102" s="487"/>
      <c r="G102" s="487"/>
      <c r="H102" s="487"/>
      <c r="I102" s="487"/>
      <c r="J102" s="487"/>
    </row>
    <row r="103" spans="1:10" ht="44.25" customHeight="1">
      <c r="A103" s="483"/>
      <c r="B103" s="486"/>
      <c r="C103" s="527"/>
      <c r="D103" s="527"/>
      <c r="E103" s="527"/>
      <c r="F103" s="487"/>
      <c r="G103" s="487"/>
      <c r="H103" s="487"/>
      <c r="I103" s="487"/>
      <c r="J103" s="487"/>
    </row>
    <row r="104" spans="1:10" ht="44.25" customHeight="1">
      <c r="A104" s="483"/>
      <c r="B104" s="486"/>
      <c r="C104" s="527"/>
      <c r="D104" s="527"/>
      <c r="E104" s="527"/>
      <c r="F104" s="487"/>
      <c r="G104" s="487"/>
      <c r="H104" s="487"/>
      <c r="I104" s="487"/>
      <c r="J104" s="487"/>
    </row>
    <row r="105" spans="1:10" ht="44.25" customHeight="1">
      <c r="A105" s="483"/>
      <c r="B105" s="486"/>
      <c r="C105" s="527"/>
      <c r="D105" s="527"/>
      <c r="E105" s="527"/>
      <c r="F105" s="487"/>
      <c r="G105" s="487"/>
      <c r="H105" s="487"/>
      <c r="I105" s="487"/>
      <c r="J105" s="487"/>
    </row>
    <row r="106" spans="1:10" ht="44.25" customHeight="1">
      <c r="A106" s="483"/>
      <c r="B106" s="486"/>
      <c r="C106" s="527"/>
      <c r="D106" s="527"/>
      <c r="E106" s="527"/>
      <c r="F106" s="487"/>
      <c r="G106" s="487"/>
      <c r="H106" s="487"/>
      <c r="I106" s="487"/>
      <c r="J106" s="487"/>
    </row>
    <row r="107" spans="1:10" ht="44.25" customHeight="1">
      <c r="A107" s="483"/>
      <c r="B107" s="486"/>
      <c r="C107" s="527"/>
      <c r="D107" s="527"/>
      <c r="E107" s="527"/>
      <c r="F107" s="487"/>
      <c r="G107" s="487"/>
      <c r="H107" s="487"/>
      <c r="I107" s="487"/>
      <c r="J107" s="487"/>
    </row>
    <row r="108" spans="1:10" ht="44.25" customHeight="1">
      <c r="A108" s="483"/>
      <c r="B108" s="486"/>
      <c r="C108" s="527"/>
      <c r="D108" s="527"/>
      <c r="E108" s="527"/>
      <c r="F108" s="487"/>
      <c r="G108" s="487"/>
      <c r="H108" s="487"/>
      <c r="I108" s="487"/>
      <c r="J108" s="487"/>
    </row>
    <row r="109" spans="1:10" ht="44.25" customHeight="1">
      <c r="A109" s="483"/>
      <c r="B109" s="486"/>
      <c r="C109" s="527"/>
      <c r="D109" s="527"/>
      <c r="E109" s="527"/>
      <c r="F109" s="487"/>
      <c r="G109" s="487"/>
      <c r="H109" s="487"/>
      <c r="I109" s="487"/>
      <c r="J109" s="487"/>
    </row>
    <row r="110" spans="1:10" ht="44.25" customHeight="1">
      <c r="A110" s="483"/>
      <c r="B110" s="486"/>
      <c r="C110" s="527"/>
      <c r="D110" s="527"/>
      <c r="E110" s="527"/>
      <c r="F110" s="487"/>
      <c r="G110" s="487"/>
      <c r="H110" s="487"/>
      <c r="I110" s="487"/>
      <c r="J110" s="487"/>
    </row>
    <row r="111" spans="1:10" ht="44.25" customHeight="1">
      <c r="A111" s="483"/>
      <c r="B111" s="486"/>
      <c r="C111" s="527"/>
      <c r="D111" s="527"/>
      <c r="E111" s="527"/>
      <c r="F111" s="487"/>
      <c r="G111" s="487"/>
      <c r="H111" s="487"/>
      <c r="I111" s="487"/>
      <c r="J111" s="487"/>
    </row>
    <row r="112" spans="1:10" ht="44.25" customHeight="1">
      <c r="A112" s="483"/>
      <c r="B112" s="486"/>
      <c r="C112" s="527"/>
      <c r="D112" s="527"/>
      <c r="E112" s="527"/>
      <c r="F112" s="487"/>
      <c r="G112" s="487"/>
      <c r="H112" s="487"/>
      <c r="I112" s="487"/>
      <c r="J112" s="487"/>
    </row>
    <row r="113" spans="1:10" ht="44.25" customHeight="1">
      <c r="A113" s="483"/>
      <c r="B113" s="486"/>
      <c r="C113" s="527"/>
      <c r="D113" s="527"/>
      <c r="E113" s="527"/>
      <c r="F113" s="487"/>
      <c r="G113" s="487"/>
      <c r="H113" s="487"/>
      <c r="I113" s="487"/>
      <c r="J113" s="487"/>
    </row>
    <row r="114" spans="1:10" ht="44.25" customHeight="1">
      <c r="A114" s="483"/>
      <c r="B114" s="486"/>
      <c r="C114" s="527"/>
      <c r="D114" s="527"/>
      <c r="E114" s="527"/>
      <c r="F114" s="487"/>
      <c r="G114" s="487"/>
      <c r="H114" s="487"/>
      <c r="I114" s="487"/>
      <c r="J114" s="487"/>
    </row>
    <row r="115" spans="1:10" ht="44.25" customHeight="1">
      <c r="A115" s="483"/>
      <c r="B115" s="486"/>
      <c r="C115" s="527"/>
      <c r="D115" s="527"/>
      <c r="E115" s="527"/>
      <c r="F115" s="487"/>
      <c r="G115" s="487"/>
      <c r="H115" s="487"/>
      <c r="I115" s="487"/>
      <c r="J115" s="487"/>
    </row>
    <row r="116" spans="1:10" ht="44.25" customHeight="1">
      <c r="A116" s="483"/>
      <c r="B116" s="486"/>
      <c r="C116" s="527"/>
      <c r="D116" s="527"/>
      <c r="E116" s="527"/>
      <c r="F116" s="487"/>
      <c r="G116" s="487"/>
      <c r="H116" s="487"/>
      <c r="I116" s="487"/>
      <c r="J116" s="487"/>
    </row>
    <row r="117" spans="1:10" ht="44.25" customHeight="1">
      <c r="A117" s="483"/>
      <c r="B117" s="486"/>
      <c r="C117" s="527"/>
      <c r="D117" s="527"/>
      <c r="E117" s="527"/>
      <c r="F117" s="487"/>
      <c r="G117" s="487"/>
      <c r="H117" s="487"/>
      <c r="I117" s="487"/>
      <c r="J117" s="487"/>
    </row>
    <row r="118" spans="1:10" ht="44.25" customHeight="1">
      <c r="A118" s="483"/>
      <c r="B118" s="486"/>
      <c r="C118" s="527"/>
      <c r="D118" s="527"/>
      <c r="E118" s="527"/>
      <c r="F118" s="487"/>
      <c r="G118" s="487"/>
      <c r="H118" s="487"/>
      <c r="I118" s="487"/>
      <c r="J118" s="487"/>
    </row>
    <row r="119" spans="1:10" ht="44.25" customHeight="1">
      <c r="A119" s="483"/>
      <c r="B119" s="486"/>
      <c r="C119" s="527"/>
      <c r="D119" s="527"/>
      <c r="E119" s="527"/>
      <c r="F119" s="487"/>
      <c r="G119" s="487"/>
      <c r="H119" s="487"/>
      <c r="I119" s="487"/>
      <c r="J119" s="487"/>
    </row>
    <row r="120" spans="1:10" ht="44.25" customHeight="1">
      <c r="A120" s="483"/>
      <c r="B120" s="486"/>
      <c r="C120" s="527"/>
      <c r="D120" s="527"/>
      <c r="E120" s="527"/>
      <c r="F120" s="487"/>
      <c r="G120" s="487"/>
      <c r="H120" s="487"/>
      <c r="I120" s="487"/>
      <c r="J120" s="487"/>
    </row>
    <row r="121" spans="1:10" ht="44.25" customHeight="1">
      <c r="A121" s="483"/>
      <c r="B121" s="486"/>
      <c r="C121" s="527"/>
      <c r="D121" s="527"/>
      <c r="E121" s="527"/>
      <c r="F121" s="487"/>
      <c r="G121" s="487"/>
      <c r="H121" s="487"/>
      <c r="I121" s="487"/>
      <c r="J121" s="487"/>
    </row>
    <row r="122" spans="1:10" ht="44.25" customHeight="1">
      <c r="A122" s="483"/>
      <c r="B122" s="486"/>
      <c r="C122" s="527"/>
      <c r="D122" s="527"/>
      <c r="E122" s="527"/>
      <c r="F122" s="487"/>
      <c r="G122" s="487"/>
      <c r="H122" s="487"/>
      <c r="I122" s="487"/>
      <c r="J122" s="487"/>
    </row>
    <row r="123" spans="1:10" ht="44.25" customHeight="1">
      <c r="A123" s="483"/>
      <c r="B123" s="486"/>
      <c r="C123" s="527"/>
      <c r="D123" s="527"/>
      <c r="E123" s="527"/>
      <c r="F123" s="487"/>
      <c r="G123" s="487"/>
      <c r="H123" s="487"/>
      <c r="I123" s="487"/>
      <c r="J123" s="487"/>
    </row>
    <row r="124" spans="1:10" ht="44.25" customHeight="1">
      <c r="A124" s="483"/>
      <c r="B124" s="486"/>
      <c r="C124" s="527"/>
      <c r="D124" s="527"/>
      <c r="E124" s="527"/>
      <c r="F124" s="487"/>
      <c r="G124" s="487"/>
      <c r="H124" s="487"/>
      <c r="I124" s="487"/>
      <c r="J124" s="487"/>
    </row>
    <row r="125" spans="1:10" ht="44.25" customHeight="1">
      <c r="A125" s="483"/>
      <c r="B125" s="486"/>
      <c r="C125" s="527"/>
      <c r="D125" s="527"/>
      <c r="E125" s="527"/>
      <c r="F125" s="487"/>
      <c r="G125" s="487"/>
      <c r="H125" s="487"/>
      <c r="I125" s="487"/>
      <c r="J125" s="487"/>
    </row>
    <row r="126" spans="1:10" ht="44.25" customHeight="1">
      <c r="A126" s="483"/>
      <c r="B126" s="486"/>
      <c r="C126" s="527"/>
      <c r="D126" s="527"/>
      <c r="E126" s="527"/>
      <c r="F126" s="487"/>
      <c r="G126" s="487"/>
      <c r="H126" s="487"/>
      <c r="I126" s="487"/>
      <c r="J126" s="487"/>
    </row>
    <row r="127" spans="1:10" ht="44.25" customHeight="1">
      <c r="A127" s="483"/>
      <c r="B127" s="486"/>
      <c r="C127" s="527"/>
      <c r="D127" s="527"/>
      <c r="E127" s="527"/>
      <c r="F127" s="487"/>
      <c r="G127" s="487"/>
      <c r="H127" s="487"/>
      <c r="I127" s="487"/>
      <c r="J127" s="487"/>
    </row>
    <row r="128" spans="1:10" ht="44.25" customHeight="1">
      <c r="A128" s="483"/>
      <c r="B128" s="486"/>
      <c r="C128" s="527"/>
      <c r="D128" s="527"/>
      <c r="E128" s="527"/>
      <c r="F128" s="487"/>
      <c r="G128" s="487"/>
      <c r="H128" s="487"/>
      <c r="I128" s="487"/>
      <c r="J128" s="487"/>
    </row>
    <row r="129" spans="1:10" ht="44.25" customHeight="1">
      <c r="A129" s="483"/>
      <c r="B129" s="486"/>
      <c r="C129" s="527"/>
      <c r="D129" s="527"/>
      <c r="E129" s="527"/>
      <c r="F129" s="487"/>
      <c r="G129" s="487"/>
      <c r="H129" s="487"/>
      <c r="I129" s="487"/>
      <c r="J129" s="487"/>
    </row>
    <row r="130" spans="1:10" ht="44.25" customHeight="1">
      <c r="A130" s="483"/>
      <c r="B130" s="486"/>
      <c r="C130" s="527"/>
      <c r="D130" s="527"/>
      <c r="E130" s="527"/>
      <c r="F130" s="487"/>
      <c r="G130" s="487"/>
      <c r="H130" s="487"/>
      <c r="I130" s="487"/>
      <c r="J130" s="487"/>
    </row>
    <row r="131" spans="1:10" ht="44.25" customHeight="1">
      <c r="A131" s="483"/>
      <c r="B131" s="486"/>
      <c r="C131" s="527"/>
      <c r="D131" s="527"/>
      <c r="E131" s="527"/>
      <c r="F131" s="487"/>
      <c r="G131" s="487"/>
      <c r="H131" s="487"/>
      <c r="I131" s="487"/>
      <c r="J131" s="487"/>
    </row>
    <row r="132" spans="1:10" ht="44.25" customHeight="1">
      <c r="A132" s="483"/>
      <c r="B132" s="486"/>
      <c r="C132" s="527"/>
      <c r="D132" s="527"/>
      <c r="E132" s="527"/>
      <c r="F132" s="487"/>
      <c r="G132" s="487"/>
      <c r="H132" s="487"/>
      <c r="I132" s="487"/>
      <c r="J132" s="487"/>
    </row>
    <row r="133" spans="1:10" ht="44.25" customHeight="1">
      <c r="A133" s="483"/>
      <c r="B133" s="486"/>
      <c r="C133" s="527"/>
      <c r="D133" s="527"/>
      <c r="E133" s="527"/>
      <c r="F133" s="487"/>
      <c r="G133" s="487"/>
      <c r="H133" s="487"/>
      <c r="I133" s="487"/>
      <c r="J133" s="487"/>
    </row>
    <row r="134" spans="1:10" ht="44.25" customHeight="1">
      <c r="A134" s="483"/>
      <c r="B134" s="486"/>
      <c r="C134" s="527"/>
      <c r="D134" s="527"/>
      <c r="E134" s="527"/>
      <c r="F134" s="487"/>
      <c r="G134" s="487"/>
      <c r="H134" s="487"/>
      <c r="I134" s="487"/>
      <c r="J134" s="487"/>
    </row>
    <row r="135" spans="1:10" ht="44.25" customHeight="1">
      <c r="A135" s="483"/>
      <c r="B135" s="486"/>
      <c r="C135" s="527"/>
      <c r="D135" s="527"/>
      <c r="E135" s="527"/>
      <c r="F135" s="487"/>
      <c r="G135" s="487"/>
      <c r="H135" s="487"/>
      <c r="I135" s="487"/>
      <c r="J135" s="487"/>
    </row>
    <row r="136" spans="1:10" ht="44.25" customHeight="1">
      <c r="A136" s="483"/>
      <c r="B136" s="486"/>
      <c r="C136" s="527"/>
      <c r="D136" s="527"/>
      <c r="E136" s="527"/>
      <c r="F136" s="487"/>
      <c r="G136" s="487"/>
      <c r="H136" s="487"/>
      <c r="I136" s="487"/>
      <c r="J136" s="487"/>
    </row>
    <row r="137" spans="1:10" ht="44.25" customHeight="1">
      <c r="A137" s="483"/>
      <c r="B137" s="486"/>
      <c r="C137" s="527"/>
      <c r="D137" s="527"/>
      <c r="E137" s="527"/>
      <c r="F137" s="487"/>
      <c r="G137" s="487"/>
      <c r="H137" s="487"/>
      <c r="I137" s="487"/>
      <c r="J137" s="487"/>
    </row>
    <row r="138" spans="1:10" ht="44.25" customHeight="1">
      <c r="A138" s="483"/>
      <c r="B138" s="486"/>
      <c r="C138" s="527"/>
      <c r="D138" s="527"/>
      <c r="E138" s="527"/>
      <c r="F138" s="487"/>
      <c r="G138" s="487"/>
      <c r="H138" s="487"/>
      <c r="I138" s="487"/>
      <c r="J138" s="487"/>
    </row>
    <row r="139" spans="1:10" ht="44.25" customHeight="1">
      <c r="A139" s="483"/>
      <c r="B139" s="486"/>
      <c r="C139" s="527"/>
      <c r="D139" s="527"/>
      <c r="E139" s="527"/>
      <c r="F139" s="487"/>
      <c r="G139" s="487"/>
      <c r="H139" s="487"/>
      <c r="I139" s="487"/>
      <c r="J139" s="487"/>
    </row>
    <row r="140" spans="1:10" ht="44.25" customHeight="1">
      <c r="A140" s="483"/>
      <c r="B140" s="486"/>
      <c r="C140" s="527"/>
      <c r="D140" s="527"/>
      <c r="E140" s="527"/>
      <c r="F140" s="487"/>
      <c r="G140" s="487"/>
      <c r="H140" s="487"/>
      <c r="I140" s="487"/>
      <c r="J140" s="487"/>
    </row>
    <row r="141" spans="1:10" ht="44.25" customHeight="1">
      <c r="A141" s="483"/>
      <c r="B141" s="486"/>
      <c r="C141" s="527"/>
      <c r="D141" s="527"/>
      <c r="E141" s="527"/>
      <c r="F141" s="487"/>
      <c r="G141" s="487"/>
      <c r="H141" s="487"/>
      <c r="I141" s="487"/>
      <c r="J141" s="487"/>
    </row>
    <row r="142" spans="1:10" ht="44.25" customHeight="1">
      <c r="A142" s="483"/>
      <c r="B142" s="486"/>
      <c r="C142" s="527"/>
      <c r="D142" s="527"/>
      <c r="E142" s="527"/>
      <c r="F142" s="487"/>
      <c r="G142" s="487"/>
      <c r="H142" s="487"/>
      <c r="I142" s="487"/>
      <c r="J142" s="487"/>
    </row>
    <row r="143" spans="1:10" ht="44.25" customHeight="1">
      <c r="A143" s="483"/>
      <c r="B143" s="486"/>
      <c r="C143" s="527"/>
      <c r="D143" s="527"/>
      <c r="E143" s="527"/>
      <c r="F143" s="487"/>
      <c r="G143" s="487"/>
      <c r="H143" s="487"/>
      <c r="I143" s="487"/>
      <c r="J143" s="487"/>
    </row>
    <row r="144" spans="1:10" ht="44.25" customHeight="1">
      <c r="A144" s="483"/>
      <c r="B144" s="486"/>
      <c r="C144" s="527"/>
      <c r="D144" s="527"/>
      <c r="E144" s="527"/>
      <c r="F144" s="487"/>
      <c r="G144" s="487"/>
      <c r="H144" s="487"/>
      <c r="I144" s="487"/>
      <c r="J144" s="487"/>
    </row>
    <row r="145" spans="1:10" ht="44.25" customHeight="1">
      <c r="A145" s="483"/>
      <c r="B145" s="486"/>
      <c r="C145" s="527"/>
      <c r="D145" s="527"/>
      <c r="E145" s="527"/>
      <c r="F145" s="487"/>
      <c r="G145" s="487"/>
      <c r="H145" s="487"/>
      <c r="I145" s="487"/>
      <c r="J145" s="487"/>
    </row>
    <row r="146" spans="1:10" ht="44.25" customHeight="1">
      <c r="A146" s="483"/>
      <c r="B146" s="486"/>
      <c r="C146" s="527"/>
      <c r="D146" s="527"/>
      <c r="E146" s="527"/>
      <c r="F146" s="487"/>
      <c r="G146" s="487"/>
      <c r="H146" s="487"/>
      <c r="I146" s="487"/>
      <c r="J146" s="487"/>
    </row>
    <row r="147" spans="1:10" ht="44.25" customHeight="1">
      <c r="A147" s="483"/>
      <c r="B147" s="486"/>
      <c r="C147" s="527"/>
      <c r="D147" s="527"/>
      <c r="E147" s="527"/>
      <c r="F147" s="487"/>
      <c r="G147" s="487"/>
      <c r="H147" s="487"/>
      <c r="I147" s="487"/>
      <c r="J147" s="487"/>
    </row>
    <row r="148" spans="1:10" ht="44.25" customHeight="1">
      <c r="A148" s="483"/>
      <c r="B148" s="486"/>
      <c r="C148" s="527"/>
      <c r="D148" s="527"/>
      <c r="E148" s="527"/>
      <c r="F148" s="487"/>
      <c r="G148" s="487"/>
      <c r="H148" s="487"/>
      <c r="I148" s="487"/>
      <c r="J148" s="487"/>
    </row>
    <row r="149" spans="1:10" ht="44.25" customHeight="1">
      <c r="A149" s="483"/>
      <c r="B149" s="486"/>
      <c r="C149" s="527"/>
      <c r="D149" s="527"/>
      <c r="E149" s="527"/>
      <c r="F149" s="487"/>
      <c r="G149" s="487"/>
      <c r="H149" s="487"/>
      <c r="I149" s="487"/>
      <c r="J149" s="487"/>
    </row>
    <row r="150" spans="1:10" ht="44.25" customHeight="1">
      <c r="A150" s="483"/>
      <c r="B150" s="486"/>
      <c r="C150" s="527"/>
      <c r="D150" s="527"/>
      <c r="E150" s="527"/>
      <c r="F150" s="487"/>
      <c r="G150" s="487"/>
      <c r="H150" s="487"/>
      <c r="I150" s="487"/>
      <c r="J150" s="487"/>
    </row>
    <row r="151" spans="1:10" ht="44.25" customHeight="1">
      <c r="A151" s="483"/>
      <c r="B151" s="486"/>
      <c r="C151" s="527"/>
      <c r="D151" s="527"/>
      <c r="E151" s="527"/>
      <c r="F151" s="487"/>
      <c r="G151" s="487"/>
      <c r="H151" s="487"/>
      <c r="I151" s="487"/>
      <c r="J151" s="487"/>
    </row>
    <row r="152" spans="1:10" ht="44.25" customHeight="1">
      <c r="A152" s="483"/>
      <c r="B152" s="486"/>
      <c r="C152" s="527"/>
      <c r="D152" s="527"/>
      <c r="E152" s="527"/>
      <c r="F152" s="487"/>
      <c r="G152" s="487"/>
      <c r="H152" s="487"/>
      <c r="I152" s="487"/>
      <c r="J152" s="487"/>
    </row>
    <row r="153" spans="1:10" ht="44.25" customHeight="1">
      <c r="A153" s="483"/>
      <c r="B153" s="486"/>
      <c r="C153" s="527"/>
      <c r="D153" s="527"/>
      <c r="E153" s="527"/>
      <c r="F153" s="487"/>
      <c r="G153" s="487"/>
      <c r="H153" s="487"/>
      <c r="I153" s="487"/>
      <c r="J153" s="487"/>
    </row>
    <row r="154" spans="1:10" ht="44.25" customHeight="1">
      <c r="A154" s="483"/>
      <c r="B154" s="486"/>
      <c r="C154" s="527"/>
      <c r="D154" s="527"/>
      <c r="E154" s="527"/>
      <c r="F154" s="487"/>
      <c r="G154" s="487"/>
      <c r="H154" s="487"/>
      <c r="I154" s="487"/>
      <c r="J154" s="487"/>
    </row>
    <row r="155" spans="1:10" ht="44.25" customHeight="1">
      <c r="A155" s="483"/>
      <c r="B155" s="486"/>
      <c r="C155" s="527"/>
      <c r="D155" s="527"/>
      <c r="E155" s="527"/>
      <c r="F155" s="487"/>
      <c r="G155" s="487"/>
      <c r="H155" s="487"/>
      <c r="I155" s="487"/>
      <c r="J155" s="487"/>
    </row>
    <row r="156" spans="1:10" ht="44.25" customHeight="1">
      <c r="A156" s="483"/>
      <c r="B156" s="486"/>
      <c r="C156" s="527"/>
      <c r="D156" s="527"/>
      <c r="E156" s="527"/>
      <c r="F156" s="487"/>
      <c r="G156" s="487"/>
      <c r="H156" s="487"/>
      <c r="I156" s="487"/>
      <c r="J156" s="487"/>
    </row>
    <row r="157" spans="1:10" ht="44.25" customHeight="1">
      <c r="A157" s="483"/>
      <c r="B157" s="486"/>
      <c r="C157" s="527"/>
      <c r="D157" s="527"/>
      <c r="E157" s="527"/>
      <c r="F157" s="487"/>
      <c r="G157" s="487"/>
      <c r="H157" s="487"/>
      <c r="I157" s="487"/>
      <c r="J157" s="487"/>
    </row>
    <row r="158" spans="1:10" ht="44.25" customHeight="1">
      <c r="A158" s="483"/>
      <c r="B158" s="486"/>
      <c r="C158" s="527"/>
      <c r="D158" s="527"/>
      <c r="E158" s="527"/>
      <c r="F158" s="487"/>
      <c r="G158" s="487"/>
      <c r="H158" s="487"/>
      <c r="I158" s="487"/>
      <c r="J158" s="487"/>
    </row>
    <row r="159" spans="1:10" ht="44.25" customHeight="1">
      <c r="A159" s="483"/>
      <c r="B159" s="486"/>
      <c r="C159" s="527"/>
      <c r="D159" s="527"/>
      <c r="E159" s="527"/>
      <c r="F159" s="487"/>
      <c r="G159" s="487"/>
      <c r="H159" s="487"/>
      <c r="I159" s="487"/>
      <c r="J159" s="487"/>
    </row>
    <row r="160" spans="1:10" ht="44.25" customHeight="1">
      <c r="A160" s="483"/>
      <c r="B160" s="486"/>
      <c r="C160" s="527"/>
      <c r="D160" s="527"/>
      <c r="E160" s="527"/>
      <c r="F160" s="487"/>
      <c r="G160" s="487"/>
      <c r="H160" s="487"/>
      <c r="I160" s="487"/>
      <c r="J160" s="487"/>
    </row>
    <row r="161" spans="1:10" ht="44.25" customHeight="1">
      <c r="A161" s="483"/>
      <c r="B161" s="486"/>
      <c r="C161" s="527"/>
      <c r="D161" s="527"/>
      <c r="E161" s="527"/>
      <c r="F161" s="487"/>
      <c r="G161" s="487"/>
      <c r="H161" s="487"/>
      <c r="I161" s="487"/>
      <c r="J161" s="487"/>
    </row>
    <row r="162" spans="1:10" ht="44.25" customHeight="1">
      <c r="A162" s="483"/>
      <c r="B162" s="486"/>
      <c r="C162" s="527"/>
      <c r="D162" s="527"/>
      <c r="E162" s="527"/>
      <c r="F162" s="487"/>
      <c r="G162" s="487"/>
      <c r="H162" s="487"/>
      <c r="I162" s="487"/>
      <c r="J162" s="487"/>
    </row>
    <row r="163" spans="1:10" ht="44.25" customHeight="1">
      <c r="A163" s="483"/>
      <c r="B163" s="486"/>
      <c r="C163" s="527"/>
      <c r="D163" s="527"/>
      <c r="E163" s="527"/>
      <c r="F163" s="487"/>
      <c r="G163" s="487"/>
      <c r="H163" s="487"/>
      <c r="I163" s="487"/>
      <c r="J163" s="487"/>
    </row>
    <row r="164" spans="1:10" ht="44.25" customHeight="1">
      <c r="A164" s="483"/>
      <c r="B164" s="486"/>
      <c r="C164" s="527"/>
      <c r="D164" s="527"/>
      <c r="E164" s="527"/>
      <c r="F164" s="487"/>
      <c r="G164" s="487"/>
      <c r="H164" s="487"/>
      <c r="I164" s="487"/>
      <c r="J164" s="487"/>
    </row>
    <row r="165" spans="1:10" ht="44.25" customHeight="1">
      <c r="A165" s="483"/>
      <c r="B165" s="486"/>
      <c r="C165" s="527"/>
      <c r="D165" s="527"/>
      <c r="E165" s="527"/>
      <c r="F165" s="487"/>
      <c r="G165" s="487"/>
      <c r="H165" s="487"/>
      <c r="I165" s="487"/>
      <c r="J165" s="487"/>
    </row>
    <row r="166" spans="1:10" ht="44.25" customHeight="1">
      <c r="A166" s="483"/>
      <c r="B166" s="486"/>
      <c r="C166" s="527"/>
      <c r="D166" s="527"/>
      <c r="E166" s="527"/>
      <c r="F166" s="487"/>
      <c r="G166" s="487"/>
      <c r="H166" s="487"/>
      <c r="I166" s="487"/>
      <c r="J166" s="487"/>
    </row>
    <row r="167" spans="1:10" ht="44.25" customHeight="1">
      <c r="A167" s="483"/>
      <c r="B167" s="486"/>
      <c r="C167" s="527"/>
      <c r="D167" s="527"/>
      <c r="E167" s="527"/>
      <c r="F167" s="487"/>
      <c r="G167" s="487"/>
      <c r="H167" s="487"/>
      <c r="I167" s="487"/>
      <c r="J167" s="487"/>
    </row>
    <row r="168" spans="1:10" ht="44.25" customHeight="1">
      <c r="A168" s="483"/>
      <c r="B168" s="486"/>
      <c r="C168" s="527"/>
      <c r="D168" s="527"/>
      <c r="E168" s="527"/>
      <c r="F168" s="487"/>
      <c r="G168" s="487"/>
      <c r="H168" s="487"/>
      <c r="I168" s="487"/>
      <c r="J168" s="487"/>
    </row>
    <row r="169" spans="1:10" ht="44.25" customHeight="1">
      <c r="A169" s="483"/>
      <c r="B169" s="486"/>
      <c r="C169" s="527"/>
      <c r="D169" s="527"/>
      <c r="E169" s="527"/>
      <c r="F169" s="487"/>
      <c r="G169" s="487"/>
      <c r="H169" s="487"/>
      <c r="I169" s="487"/>
      <c r="J169" s="487"/>
    </row>
    <row r="170" spans="1:10" ht="44.25" customHeight="1">
      <c r="A170" s="483"/>
      <c r="B170" s="486"/>
      <c r="C170" s="527"/>
      <c r="D170" s="527"/>
      <c r="E170" s="527"/>
      <c r="F170" s="487"/>
      <c r="G170" s="487"/>
      <c r="H170" s="487"/>
      <c r="I170" s="487"/>
      <c r="J170" s="487"/>
    </row>
    <row r="171" spans="1:10" ht="44.25" customHeight="1">
      <c r="A171" s="483"/>
      <c r="B171" s="486"/>
      <c r="C171" s="527"/>
      <c r="D171" s="527"/>
      <c r="E171" s="527"/>
      <c r="F171" s="487"/>
      <c r="G171" s="487"/>
      <c r="H171" s="487"/>
      <c r="I171" s="487"/>
      <c r="J171" s="487"/>
    </row>
    <row r="172" spans="1:10" ht="44.25" customHeight="1">
      <c r="A172" s="483"/>
      <c r="B172" s="486"/>
      <c r="C172" s="527"/>
      <c r="D172" s="527"/>
      <c r="E172" s="527"/>
      <c r="F172" s="487"/>
      <c r="G172" s="487"/>
      <c r="H172" s="487"/>
      <c r="I172" s="487"/>
      <c r="J172" s="487"/>
    </row>
    <row r="173" spans="1:10" ht="44.25" customHeight="1">
      <c r="A173" s="483"/>
      <c r="B173" s="486"/>
      <c r="C173" s="527"/>
      <c r="D173" s="527"/>
      <c r="E173" s="527"/>
      <c r="F173" s="487"/>
      <c r="G173" s="487"/>
      <c r="H173" s="487"/>
      <c r="I173" s="487"/>
      <c r="J173" s="487"/>
    </row>
    <row r="174" spans="1:10" ht="44.25" customHeight="1">
      <c r="A174" s="483"/>
      <c r="B174" s="486"/>
      <c r="C174" s="527"/>
      <c r="D174" s="527"/>
      <c r="E174" s="527"/>
      <c r="F174" s="487"/>
      <c r="G174" s="487"/>
      <c r="H174" s="487"/>
      <c r="I174" s="487"/>
      <c r="J174" s="487"/>
    </row>
    <row r="175" spans="1:10" ht="44.25" customHeight="1">
      <c r="A175" s="483"/>
      <c r="B175" s="486"/>
      <c r="C175" s="527"/>
      <c r="D175" s="527"/>
      <c r="E175" s="527"/>
      <c r="F175" s="487"/>
      <c r="G175" s="487"/>
      <c r="H175" s="487"/>
      <c r="I175" s="487"/>
      <c r="J175" s="487"/>
    </row>
    <row r="176" spans="1:10" ht="44.25" customHeight="1">
      <c r="A176" s="483"/>
      <c r="B176" s="486"/>
      <c r="C176" s="527"/>
      <c r="D176" s="527"/>
      <c r="E176" s="527"/>
      <c r="F176" s="487"/>
      <c r="G176" s="487"/>
      <c r="H176" s="487"/>
      <c r="I176" s="487"/>
      <c r="J176" s="487"/>
    </row>
    <row r="177" spans="1:10" ht="44.25" customHeight="1">
      <c r="A177" s="483"/>
      <c r="B177" s="486"/>
      <c r="C177" s="527"/>
      <c r="D177" s="527"/>
      <c r="E177" s="527"/>
      <c r="F177" s="487"/>
      <c r="G177" s="487"/>
      <c r="H177" s="487"/>
      <c r="I177" s="487"/>
      <c r="J177" s="487"/>
    </row>
    <row r="178" spans="1:10" ht="44.25" customHeight="1">
      <c r="A178" s="483"/>
      <c r="B178" s="486"/>
      <c r="C178" s="527"/>
      <c r="D178" s="527"/>
      <c r="E178" s="527"/>
      <c r="F178" s="487"/>
      <c r="G178" s="487"/>
      <c r="H178" s="487"/>
      <c r="I178" s="487"/>
      <c r="J178" s="487"/>
    </row>
    <row r="179" spans="1:10" ht="44.25" customHeight="1">
      <c r="A179" s="483"/>
      <c r="B179" s="486"/>
      <c r="C179" s="527"/>
      <c r="D179" s="527"/>
      <c r="E179" s="527"/>
      <c r="F179" s="487"/>
      <c r="G179" s="487"/>
      <c r="H179" s="487"/>
      <c r="I179" s="487"/>
      <c r="J179" s="487"/>
    </row>
    <row r="180" spans="1:10" ht="44.25" customHeight="1">
      <c r="A180" s="483"/>
      <c r="B180" s="486"/>
      <c r="C180" s="527"/>
      <c r="D180" s="527"/>
      <c r="E180" s="527"/>
      <c r="F180" s="487"/>
      <c r="G180" s="487"/>
      <c r="H180" s="487"/>
      <c r="I180" s="487"/>
      <c r="J180" s="487"/>
    </row>
    <row r="181" spans="1:10" ht="44.25" customHeight="1">
      <c r="A181" s="483"/>
      <c r="B181" s="486"/>
      <c r="C181" s="527"/>
      <c r="D181" s="527"/>
      <c r="E181" s="527"/>
      <c r="F181" s="487"/>
      <c r="G181" s="487"/>
      <c r="H181" s="487"/>
      <c r="I181" s="487"/>
      <c r="J181" s="487"/>
    </row>
    <row r="182" spans="1:10" ht="44.25" customHeight="1">
      <c r="A182" s="483"/>
      <c r="B182" s="486"/>
      <c r="C182" s="527"/>
      <c r="D182" s="527"/>
      <c r="E182" s="527"/>
      <c r="F182" s="487"/>
      <c r="G182" s="487"/>
      <c r="H182" s="487"/>
      <c r="I182" s="487"/>
      <c r="J182" s="487"/>
    </row>
    <row r="183" spans="1:10" ht="44.25" customHeight="1">
      <c r="A183" s="483"/>
      <c r="B183" s="486"/>
      <c r="C183" s="527"/>
      <c r="D183" s="527"/>
      <c r="E183" s="527"/>
      <c r="F183" s="487"/>
      <c r="G183" s="487"/>
      <c r="H183" s="487"/>
      <c r="I183" s="487"/>
      <c r="J183" s="487"/>
    </row>
    <row r="184" spans="1:10" ht="44.25" customHeight="1">
      <c r="A184" s="483"/>
      <c r="B184" s="486"/>
      <c r="C184" s="527"/>
      <c r="D184" s="527"/>
      <c r="E184" s="527"/>
      <c r="F184" s="487"/>
      <c r="G184" s="487"/>
      <c r="H184" s="487"/>
      <c r="I184" s="487"/>
      <c r="J184" s="487"/>
    </row>
    <row r="185" spans="1:10" ht="44.25" customHeight="1">
      <c r="A185" s="483"/>
      <c r="B185" s="486"/>
      <c r="C185" s="527"/>
      <c r="D185" s="527"/>
      <c r="E185" s="527"/>
      <c r="F185" s="487"/>
      <c r="G185" s="487"/>
      <c r="H185" s="487"/>
      <c r="I185" s="487"/>
      <c r="J185" s="487"/>
    </row>
    <row r="186" spans="1:10" ht="44.25" customHeight="1">
      <c r="A186" s="483"/>
      <c r="B186" s="486"/>
      <c r="C186" s="527"/>
      <c r="D186" s="527"/>
      <c r="E186" s="527"/>
      <c r="F186" s="487"/>
      <c r="G186" s="487"/>
      <c r="H186" s="487"/>
      <c r="I186" s="487"/>
      <c r="J186" s="487"/>
    </row>
    <row r="187" spans="1:10" ht="44.25" customHeight="1">
      <c r="A187" s="483"/>
      <c r="B187" s="486"/>
      <c r="C187" s="527"/>
      <c r="D187" s="527"/>
      <c r="E187" s="527"/>
      <c r="F187" s="487"/>
      <c r="G187" s="487"/>
      <c r="H187" s="487"/>
      <c r="I187" s="487"/>
      <c r="J187" s="487"/>
    </row>
    <row r="188" spans="1:10" ht="44.25" customHeight="1">
      <c r="A188" s="483"/>
      <c r="B188" s="486"/>
      <c r="C188" s="527"/>
      <c r="D188" s="527"/>
      <c r="E188" s="527"/>
      <c r="F188" s="487"/>
      <c r="G188" s="487"/>
      <c r="H188" s="487"/>
      <c r="I188" s="487"/>
      <c r="J188" s="487"/>
    </row>
    <row r="189" spans="1:10" ht="44.25" customHeight="1">
      <c r="A189" s="483"/>
      <c r="B189" s="486"/>
      <c r="C189" s="527"/>
      <c r="D189" s="527"/>
      <c r="E189" s="527"/>
      <c r="F189" s="487"/>
      <c r="G189" s="487"/>
      <c r="H189" s="487"/>
      <c r="I189" s="487"/>
      <c r="J189" s="487"/>
    </row>
    <row r="190" spans="1:10" ht="44.25" customHeight="1">
      <c r="A190" s="483"/>
      <c r="B190" s="486"/>
      <c r="C190" s="527"/>
      <c r="D190" s="527"/>
      <c r="E190" s="527"/>
      <c r="F190" s="487"/>
      <c r="G190" s="487"/>
      <c r="H190" s="487"/>
      <c r="I190" s="487"/>
      <c r="J190" s="487"/>
    </row>
    <row r="191" spans="1:10" ht="44.25" customHeight="1">
      <c r="A191" s="483"/>
      <c r="B191" s="486"/>
      <c r="C191" s="527"/>
      <c r="D191" s="527"/>
      <c r="E191" s="527"/>
      <c r="F191" s="487"/>
      <c r="G191" s="487"/>
      <c r="H191" s="487"/>
      <c r="I191" s="487"/>
      <c r="J191" s="487"/>
    </row>
    <row r="192" spans="1:10" ht="44.25" customHeight="1">
      <c r="A192" s="483"/>
      <c r="B192" s="486"/>
      <c r="C192" s="527"/>
      <c r="D192" s="527"/>
      <c r="E192" s="527"/>
      <c r="F192" s="487"/>
      <c r="G192" s="487"/>
      <c r="H192" s="487"/>
      <c r="I192" s="487"/>
      <c r="J192" s="487"/>
    </row>
    <row r="193" spans="1:10" ht="44.25" customHeight="1">
      <c r="A193" s="483"/>
      <c r="B193" s="486"/>
      <c r="C193" s="527"/>
      <c r="D193" s="527"/>
      <c r="E193" s="527"/>
      <c r="F193" s="487"/>
      <c r="G193" s="487"/>
      <c r="H193" s="487"/>
      <c r="I193" s="487"/>
      <c r="J193" s="487"/>
    </row>
    <row r="194" spans="1:10" ht="44.25" customHeight="1">
      <c r="A194" s="483"/>
      <c r="B194" s="486"/>
      <c r="C194" s="527"/>
      <c r="D194" s="527"/>
      <c r="E194" s="527"/>
      <c r="F194" s="487"/>
      <c r="G194" s="487"/>
      <c r="H194" s="487"/>
      <c r="I194" s="487"/>
      <c r="J194" s="487"/>
    </row>
    <row r="195" spans="1:10" ht="44.25" customHeight="1">
      <c r="A195" s="483"/>
      <c r="B195" s="486"/>
      <c r="C195" s="527"/>
      <c r="D195" s="527"/>
      <c r="E195" s="527"/>
      <c r="F195" s="487"/>
      <c r="G195" s="487"/>
      <c r="H195" s="487"/>
      <c r="I195" s="487"/>
      <c r="J195" s="487"/>
    </row>
    <row r="196" spans="1:10" ht="44.25" customHeight="1">
      <c r="A196" s="483"/>
      <c r="B196" s="486"/>
      <c r="C196" s="527"/>
      <c r="D196" s="527"/>
      <c r="E196" s="527"/>
      <c r="F196" s="487"/>
      <c r="G196" s="487"/>
      <c r="H196" s="487"/>
      <c r="I196" s="487"/>
      <c r="J196" s="487"/>
    </row>
    <row r="197" spans="1:10" ht="44.25" customHeight="1">
      <c r="A197" s="483"/>
      <c r="B197" s="486"/>
      <c r="C197" s="527"/>
      <c r="D197" s="527"/>
      <c r="E197" s="527"/>
      <c r="F197" s="487"/>
      <c r="G197" s="487"/>
      <c r="H197" s="487"/>
      <c r="I197" s="487"/>
      <c r="J197" s="487"/>
    </row>
    <row r="198" spans="1:10" ht="44.25" customHeight="1">
      <c r="A198" s="483"/>
      <c r="B198" s="486"/>
      <c r="C198" s="527"/>
      <c r="D198" s="527"/>
      <c r="E198" s="527"/>
      <c r="F198" s="487"/>
      <c r="G198" s="487"/>
      <c r="H198" s="487"/>
      <c r="I198" s="487"/>
      <c r="J198" s="487"/>
    </row>
    <row r="199" spans="1:10" ht="44.25" customHeight="1">
      <c r="A199" s="483"/>
      <c r="B199" s="486"/>
      <c r="C199" s="527"/>
      <c r="D199" s="527"/>
      <c r="E199" s="527"/>
      <c r="F199" s="487"/>
      <c r="G199" s="487"/>
      <c r="H199" s="487"/>
      <c r="I199" s="487"/>
      <c r="J199" s="487"/>
    </row>
    <row r="200" spans="1:10" ht="44.25" customHeight="1">
      <c r="A200" s="483"/>
      <c r="B200" s="486"/>
      <c r="C200" s="527"/>
      <c r="D200" s="527"/>
      <c r="E200" s="527"/>
      <c r="F200" s="487"/>
      <c r="G200" s="487"/>
      <c r="H200" s="487"/>
      <c r="I200" s="487"/>
      <c r="J200" s="487"/>
    </row>
    <row r="201" spans="1:10" ht="44.25" customHeight="1">
      <c r="A201" s="483"/>
      <c r="B201" s="486"/>
      <c r="C201" s="527"/>
      <c r="D201" s="527"/>
      <c r="E201" s="527"/>
      <c r="F201" s="487"/>
      <c r="G201" s="487"/>
      <c r="H201" s="487"/>
      <c r="I201" s="487"/>
      <c r="J201" s="487"/>
    </row>
    <row r="202" spans="1:10" ht="44.25" customHeight="1">
      <c r="A202" s="483"/>
      <c r="B202" s="486"/>
      <c r="C202" s="527"/>
      <c r="D202" s="527"/>
      <c r="E202" s="527"/>
      <c r="F202" s="487"/>
      <c r="G202" s="487"/>
      <c r="H202" s="487"/>
      <c r="I202" s="487"/>
      <c r="J202" s="487"/>
    </row>
    <row r="203" spans="1:10" ht="44.25" customHeight="1">
      <c r="A203" s="483"/>
      <c r="B203" s="486"/>
      <c r="C203" s="527"/>
      <c r="D203" s="527"/>
      <c r="E203" s="527"/>
      <c r="F203" s="487"/>
      <c r="G203" s="487"/>
      <c r="H203" s="487"/>
      <c r="I203" s="487"/>
      <c r="J203" s="487"/>
    </row>
    <row r="204" spans="1:10" ht="44.25" customHeight="1">
      <c r="A204" s="483"/>
      <c r="B204" s="486"/>
      <c r="C204" s="527"/>
      <c r="D204" s="527"/>
      <c r="E204" s="527"/>
      <c r="F204" s="487"/>
      <c r="G204" s="487"/>
      <c r="H204" s="487"/>
      <c r="I204" s="487"/>
      <c r="J204" s="487"/>
    </row>
    <row r="205" spans="1:10" ht="44.25" customHeight="1">
      <c r="A205" s="483"/>
      <c r="B205" s="486"/>
      <c r="C205" s="527"/>
      <c r="D205" s="527"/>
      <c r="E205" s="527"/>
      <c r="F205" s="487"/>
      <c r="G205" s="487"/>
      <c r="H205" s="487"/>
      <c r="I205" s="487"/>
      <c r="J205" s="487"/>
    </row>
    <row r="206" spans="1:10" ht="44.25" customHeight="1">
      <c r="A206" s="483"/>
      <c r="B206" s="486"/>
      <c r="C206" s="527"/>
      <c r="D206" s="527"/>
      <c r="E206" s="527"/>
      <c r="F206" s="487"/>
      <c r="G206" s="487"/>
      <c r="H206" s="487"/>
      <c r="I206" s="487"/>
      <c r="J206" s="487"/>
    </row>
    <row r="207" spans="1:10" ht="44.25" customHeight="1">
      <c r="A207" s="483"/>
      <c r="B207" s="486"/>
      <c r="C207" s="527"/>
      <c r="D207" s="527"/>
      <c r="E207" s="527"/>
      <c r="F207" s="487"/>
      <c r="G207" s="487"/>
      <c r="H207" s="487"/>
      <c r="I207" s="487"/>
      <c r="J207" s="487"/>
    </row>
    <row r="208" spans="1:10" ht="44.25" customHeight="1">
      <c r="A208" s="483"/>
      <c r="B208" s="486"/>
      <c r="C208" s="527"/>
      <c r="D208" s="527"/>
      <c r="E208" s="527"/>
      <c r="F208" s="487"/>
      <c r="G208" s="487"/>
      <c r="H208" s="487"/>
      <c r="I208" s="487"/>
      <c r="J208" s="487"/>
    </row>
    <row r="209" spans="1:10" ht="44.25" customHeight="1">
      <c r="A209" s="483"/>
      <c r="B209" s="486"/>
      <c r="C209" s="527"/>
      <c r="D209" s="527"/>
      <c r="E209" s="527"/>
      <c r="F209" s="487"/>
      <c r="G209" s="487"/>
      <c r="H209" s="487"/>
      <c r="I209" s="487"/>
      <c r="J209" s="487"/>
    </row>
    <row r="210" spans="1:10" ht="44.25" customHeight="1">
      <c r="A210" s="483"/>
      <c r="B210" s="486"/>
      <c r="C210" s="527"/>
      <c r="D210" s="527"/>
      <c r="E210" s="527"/>
      <c r="F210" s="487"/>
      <c r="G210" s="487"/>
      <c r="H210" s="487"/>
      <c r="I210" s="487"/>
      <c r="J210" s="487"/>
    </row>
    <row r="211" spans="1:10" ht="44.25" customHeight="1">
      <c r="A211" s="483"/>
      <c r="B211" s="486"/>
      <c r="C211" s="527"/>
      <c r="D211" s="527"/>
      <c r="E211" s="527"/>
      <c r="F211" s="487"/>
      <c r="G211" s="487"/>
      <c r="H211" s="487"/>
      <c r="I211" s="487"/>
      <c r="J211" s="487"/>
    </row>
    <row r="212" spans="1:10" ht="44.25" customHeight="1">
      <c r="A212" s="483"/>
      <c r="B212" s="486"/>
      <c r="C212" s="527"/>
      <c r="D212" s="527"/>
      <c r="E212" s="527"/>
      <c r="F212" s="487"/>
      <c r="G212" s="487"/>
      <c r="H212" s="487"/>
      <c r="I212" s="487"/>
      <c r="J212" s="487"/>
    </row>
    <row r="213" spans="1:10" ht="44.25" customHeight="1">
      <c r="A213" s="483"/>
      <c r="B213" s="486"/>
      <c r="C213" s="527"/>
      <c r="D213" s="527"/>
      <c r="E213" s="527"/>
      <c r="F213" s="487"/>
      <c r="G213" s="487"/>
      <c r="H213" s="487"/>
      <c r="I213" s="487"/>
      <c r="J213" s="487"/>
    </row>
    <row r="214" spans="1:10" ht="44.25" customHeight="1">
      <c r="A214" s="483"/>
      <c r="B214" s="486"/>
      <c r="C214" s="527"/>
      <c r="D214" s="527"/>
      <c r="E214" s="527"/>
      <c r="F214" s="487"/>
      <c r="G214" s="487"/>
      <c r="H214" s="487"/>
      <c r="I214" s="487"/>
      <c r="J214" s="487"/>
    </row>
    <row r="215" spans="1:10" ht="44.25" customHeight="1">
      <c r="A215" s="483"/>
      <c r="B215" s="486"/>
      <c r="C215" s="527"/>
      <c r="D215" s="527"/>
      <c r="E215" s="527"/>
      <c r="F215" s="487"/>
      <c r="G215" s="487"/>
      <c r="H215" s="487"/>
      <c r="I215" s="487"/>
      <c r="J215" s="487"/>
    </row>
    <row r="216" spans="1:10" ht="44.25" customHeight="1">
      <c r="A216" s="483"/>
      <c r="B216" s="486"/>
      <c r="C216" s="527"/>
      <c r="D216" s="527"/>
      <c r="E216" s="527"/>
      <c r="F216" s="487"/>
      <c r="G216" s="487"/>
      <c r="H216" s="487"/>
      <c r="I216" s="487"/>
      <c r="J216" s="487"/>
    </row>
    <row r="217" spans="1:10" ht="44.25" customHeight="1">
      <c r="A217" s="483"/>
      <c r="B217" s="486"/>
      <c r="C217" s="527"/>
      <c r="D217" s="527"/>
      <c r="E217" s="527"/>
      <c r="F217" s="487"/>
      <c r="G217" s="487"/>
      <c r="H217" s="487"/>
      <c r="I217" s="487"/>
      <c r="J217" s="487"/>
    </row>
    <row r="218" spans="1:10" ht="44.25" customHeight="1">
      <c r="A218" s="483"/>
      <c r="B218" s="486"/>
      <c r="C218" s="527"/>
      <c r="D218" s="527"/>
      <c r="E218" s="527"/>
      <c r="F218" s="487"/>
      <c r="G218" s="487"/>
      <c r="H218" s="487"/>
      <c r="I218" s="487"/>
      <c r="J218" s="487"/>
    </row>
    <row r="219" spans="1:10" ht="44.25" customHeight="1">
      <c r="A219" s="483"/>
      <c r="B219" s="486"/>
      <c r="C219" s="527"/>
      <c r="D219" s="527"/>
      <c r="E219" s="527"/>
      <c r="F219" s="487"/>
      <c r="G219" s="487"/>
      <c r="H219" s="487"/>
      <c r="I219" s="487"/>
      <c r="J219" s="487"/>
    </row>
    <row r="220" spans="1:10" ht="44.25" customHeight="1">
      <c r="A220" s="483"/>
      <c r="B220" s="486"/>
      <c r="C220" s="527"/>
      <c r="D220" s="527"/>
      <c r="E220" s="527"/>
      <c r="F220" s="487"/>
      <c r="G220" s="487"/>
      <c r="H220" s="487"/>
      <c r="I220" s="487"/>
      <c r="J220" s="487"/>
    </row>
    <row r="221" spans="1:10" ht="44.25" customHeight="1">
      <c r="A221" s="483"/>
      <c r="B221" s="486"/>
      <c r="C221" s="527"/>
      <c r="D221" s="527"/>
      <c r="E221" s="527"/>
      <c r="F221" s="487"/>
      <c r="G221" s="487"/>
      <c r="H221" s="487"/>
      <c r="I221" s="487"/>
      <c r="J221" s="487"/>
    </row>
    <row r="222" spans="1:10" ht="44.25" customHeight="1">
      <c r="A222" s="483"/>
      <c r="B222" s="486"/>
      <c r="C222" s="527"/>
      <c r="D222" s="527"/>
      <c r="E222" s="527"/>
      <c r="F222" s="487"/>
      <c r="G222" s="487"/>
      <c r="H222" s="487"/>
      <c r="I222" s="487"/>
      <c r="J222" s="487"/>
    </row>
    <row r="223" spans="1:10" ht="44.25" customHeight="1">
      <c r="A223" s="483"/>
      <c r="B223" s="486"/>
      <c r="C223" s="527"/>
      <c r="D223" s="527"/>
      <c r="E223" s="527"/>
      <c r="F223" s="487"/>
      <c r="G223" s="487"/>
      <c r="H223" s="487"/>
      <c r="I223" s="487"/>
      <c r="J223" s="487"/>
    </row>
    <row r="224" spans="1:10" ht="44.25" customHeight="1">
      <c r="A224" s="483"/>
      <c r="B224" s="486"/>
      <c r="C224" s="527"/>
      <c r="D224" s="527"/>
      <c r="E224" s="527"/>
      <c r="F224" s="487"/>
      <c r="G224" s="487"/>
      <c r="H224" s="487"/>
      <c r="I224" s="487"/>
      <c r="J224" s="487"/>
    </row>
    <row r="225" spans="1:10" ht="44.25" customHeight="1">
      <c r="A225" s="483"/>
      <c r="B225" s="486"/>
      <c r="C225" s="527"/>
      <c r="D225" s="527"/>
      <c r="E225" s="527"/>
      <c r="F225" s="487"/>
      <c r="G225" s="487"/>
      <c r="H225" s="487"/>
      <c r="I225" s="487"/>
      <c r="J225" s="487"/>
    </row>
    <row r="226" spans="1:10" ht="44.25" customHeight="1">
      <c r="A226" s="483"/>
      <c r="B226" s="486"/>
      <c r="C226" s="527"/>
      <c r="D226" s="527"/>
      <c r="E226" s="527"/>
      <c r="F226" s="487"/>
      <c r="G226" s="487"/>
      <c r="H226" s="487"/>
      <c r="I226" s="487"/>
      <c r="J226" s="487"/>
    </row>
    <row r="227" spans="1:10" ht="44.25" customHeight="1">
      <c r="A227" s="483"/>
      <c r="B227" s="486"/>
      <c r="C227" s="527"/>
      <c r="D227" s="527"/>
      <c r="E227" s="527"/>
      <c r="F227" s="487"/>
      <c r="G227" s="487"/>
      <c r="H227" s="487"/>
      <c r="I227" s="487"/>
      <c r="J227" s="487"/>
    </row>
    <row r="228" spans="1:10" ht="44.25" customHeight="1">
      <c r="A228" s="483"/>
      <c r="B228" s="486"/>
      <c r="C228" s="527"/>
      <c r="D228" s="527"/>
      <c r="E228" s="527"/>
      <c r="F228" s="487"/>
      <c r="G228" s="487"/>
      <c r="H228" s="487"/>
      <c r="I228" s="487"/>
      <c r="J228" s="487"/>
    </row>
    <row r="229" spans="1:10" ht="44.25" customHeight="1">
      <c r="A229" s="483"/>
      <c r="B229" s="486"/>
      <c r="C229" s="527"/>
      <c r="D229" s="527"/>
      <c r="E229" s="527"/>
      <c r="F229" s="487"/>
      <c r="G229" s="487"/>
      <c r="H229" s="487"/>
      <c r="I229" s="487"/>
      <c r="J229" s="487"/>
    </row>
    <row r="230" spans="1:10" ht="44.25" customHeight="1">
      <c r="A230" s="483"/>
      <c r="B230" s="486"/>
      <c r="C230" s="527"/>
      <c r="D230" s="527"/>
      <c r="E230" s="527"/>
      <c r="F230" s="487"/>
      <c r="G230" s="487"/>
      <c r="H230" s="487"/>
      <c r="I230" s="487"/>
      <c r="J230" s="487"/>
    </row>
    <row r="231" spans="1:10" ht="44.25" customHeight="1">
      <c r="A231" s="483"/>
      <c r="B231" s="486"/>
      <c r="C231" s="527"/>
      <c r="D231" s="527"/>
      <c r="E231" s="527"/>
      <c r="F231" s="487"/>
      <c r="G231" s="487"/>
      <c r="H231" s="487"/>
      <c r="I231" s="487"/>
      <c r="J231" s="487"/>
    </row>
    <row r="232" spans="1:10" ht="44.25" customHeight="1">
      <c r="A232" s="483"/>
      <c r="B232" s="486"/>
      <c r="C232" s="527"/>
      <c r="D232" s="527"/>
      <c r="E232" s="527"/>
      <c r="F232" s="487"/>
      <c r="G232" s="487"/>
      <c r="H232" s="487"/>
      <c r="I232" s="487"/>
      <c r="J232" s="487"/>
    </row>
    <row r="233" spans="1:10" ht="44.25" customHeight="1">
      <c r="A233" s="483"/>
      <c r="B233" s="486"/>
      <c r="C233" s="527"/>
      <c r="D233" s="527"/>
      <c r="E233" s="527"/>
      <c r="F233" s="487"/>
      <c r="G233" s="487"/>
      <c r="H233" s="487"/>
      <c r="I233" s="487"/>
      <c r="J233" s="487"/>
    </row>
    <row r="234" spans="1:10" ht="44.25" customHeight="1">
      <c r="A234" s="483"/>
      <c r="B234" s="486"/>
      <c r="C234" s="527"/>
      <c r="D234" s="527"/>
      <c r="E234" s="527"/>
      <c r="F234" s="487"/>
      <c r="G234" s="487"/>
      <c r="H234" s="487"/>
      <c r="I234" s="487"/>
      <c r="J234" s="487"/>
    </row>
    <row r="235" spans="1:10" ht="44.25" customHeight="1">
      <c r="A235" s="483"/>
      <c r="B235" s="486"/>
      <c r="C235" s="527"/>
      <c r="D235" s="527"/>
      <c r="E235" s="527"/>
      <c r="F235" s="487"/>
      <c r="G235" s="487"/>
      <c r="H235" s="487"/>
      <c r="I235" s="487"/>
      <c r="J235" s="487"/>
    </row>
    <row r="236" spans="1:10" ht="44.25" customHeight="1">
      <c r="A236" s="483"/>
      <c r="B236" s="486"/>
      <c r="C236" s="527"/>
      <c r="D236" s="527"/>
      <c r="E236" s="527"/>
      <c r="F236" s="487"/>
      <c r="G236" s="487"/>
      <c r="H236" s="487"/>
      <c r="I236" s="487"/>
      <c r="J236" s="487"/>
    </row>
    <row r="237" spans="1:10" ht="44.25" customHeight="1">
      <c r="A237" s="483"/>
      <c r="B237" s="486"/>
      <c r="C237" s="527"/>
      <c r="D237" s="527"/>
      <c r="E237" s="527"/>
      <c r="F237" s="487"/>
      <c r="G237" s="487"/>
      <c r="H237" s="487"/>
      <c r="I237" s="487"/>
      <c r="J237" s="487"/>
    </row>
    <row r="238" spans="1:10" ht="44.25" customHeight="1">
      <c r="A238" s="483"/>
      <c r="B238" s="486"/>
      <c r="C238" s="527"/>
      <c r="D238" s="527"/>
      <c r="E238" s="527"/>
      <c r="F238" s="487"/>
      <c r="G238" s="487"/>
      <c r="H238" s="487"/>
      <c r="I238" s="487"/>
      <c r="J238" s="487"/>
    </row>
    <row r="239" spans="1:10" ht="44.25" customHeight="1">
      <c r="A239" s="483"/>
      <c r="B239" s="486"/>
      <c r="C239" s="527"/>
      <c r="D239" s="527"/>
      <c r="E239" s="527"/>
      <c r="F239" s="487"/>
      <c r="G239" s="487"/>
      <c r="H239" s="487"/>
      <c r="I239" s="487"/>
      <c r="J239" s="487"/>
    </row>
    <row r="240" spans="1:10" ht="44.25" customHeight="1">
      <c r="A240" s="483"/>
      <c r="B240" s="486"/>
      <c r="C240" s="527"/>
      <c r="D240" s="527"/>
      <c r="E240" s="527"/>
      <c r="F240" s="487"/>
      <c r="G240" s="487"/>
      <c r="H240" s="487"/>
      <c r="I240" s="487"/>
      <c r="J240" s="487"/>
    </row>
    <row r="241" spans="1:10" ht="44.25" customHeight="1">
      <c r="A241" s="483"/>
      <c r="B241" s="486"/>
      <c r="C241" s="527"/>
      <c r="D241" s="527"/>
      <c r="E241" s="527"/>
      <c r="F241" s="487"/>
      <c r="G241" s="487"/>
      <c r="H241" s="487"/>
      <c r="I241" s="487"/>
      <c r="J241" s="487"/>
    </row>
    <row r="242" spans="1:10" ht="44.25" customHeight="1">
      <c r="A242" s="483"/>
      <c r="B242" s="486"/>
      <c r="C242" s="527"/>
      <c r="D242" s="527"/>
      <c r="E242" s="527"/>
      <c r="F242" s="487"/>
      <c r="G242" s="487"/>
      <c r="H242" s="487"/>
      <c r="I242" s="487"/>
      <c r="J242" s="487"/>
    </row>
    <row r="243" spans="1:10" ht="44.25" customHeight="1">
      <c r="A243" s="483"/>
      <c r="B243" s="486"/>
      <c r="C243" s="527"/>
      <c r="D243" s="527"/>
      <c r="E243" s="527"/>
      <c r="F243" s="487"/>
      <c r="G243" s="487"/>
      <c r="H243" s="487"/>
      <c r="I243" s="487"/>
      <c r="J243" s="487"/>
    </row>
    <row r="244" spans="1:10" ht="44.25" customHeight="1">
      <c r="A244" s="483"/>
      <c r="B244" s="486"/>
      <c r="C244" s="527"/>
      <c r="D244" s="527"/>
      <c r="E244" s="527"/>
      <c r="F244" s="487"/>
      <c r="G244" s="487"/>
      <c r="H244" s="487"/>
      <c r="I244" s="487"/>
      <c r="J244" s="487"/>
    </row>
    <row r="245" spans="1:10" ht="44.25" customHeight="1">
      <c r="A245" s="483"/>
      <c r="B245" s="486"/>
      <c r="C245" s="527"/>
      <c r="D245" s="527"/>
      <c r="E245" s="527"/>
      <c r="F245" s="487"/>
      <c r="G245" s="487"/>
      <c r="H245" s="487"/>
      <c r="I245" s="487"/>
      <c r="J245" s="487"/>
    </row>
    <row r="246" spans="1:10" ht="44.25" customHeight="1">
      <c r="A246" s="483"/>
      <c r="B246" s="486"/>
      <c r="C246" s="527"/>
      <c r="D246" s="527"/>
      <c r="E246" s="527"/>
      <c r="F246" s="487"/>
      <c r="G246" s="487"/>
      <c r="H246" s="487"/>
      <c r="I246" s="487"/>
      <c r="J246" s="487"/>
    </row>
    <row r="247" spans="1:10" ht="44.25" customHeight="1">
      <c r="A247" s="483"/>
      <c r="B247" s="486"/>
      <c r="C247" s="527"/>
      <c r="D247" s="527"/>
      <c r="E247" s="527"/>
      <c r="F247" s="487"/>
      <c r="G247" s="487"/>
      <c r="H247" s="487"/>
      <c r="I247" s="487"/>
      <c r="J247" s="487"/>
    </row>
    <row r="248" spans="1:10" ht="44.25" customHeight="1">
      <c r="A248" s="483"/>
      <c r="B248" s="486"/>
      <c r="C248" s="527"/>
      <c r="D248" s="527"/>
      <c r="E248" s="527"/>
      <c r="F248" s="487"/>
      <c r="G248" s="487"/>
      <c r="H248" s="487"/>
      <c r="I248" s="487"/>
      <c r="J248" s="487"/>
    </row>
    <row r="249" spans="1:10" ht="44.25" customHeight="1">
      <c r="A249" s="483"/>
      <c r="B249" s="486"/>
      <c r="C249" s="527"/>
      <c r="D249" s="527"/>
      <c r="E249" s="527"/>
      <c r="F249" s="487"/>
      <c r="G249" s="487"/>
      <c r="H249" s="487"/>
      <c r="I249" s="487"/>
      <c r="J249" s="487"/>
    </row>
    <row r="250" spans="1:10" ht="44.25" customHeight="1">
      <c r="A250" s="483"/>
      <c r="B250" s="486"/>
      <c r="C250" s="527"/>
      <c r="D250" s="527"/>
      <c r="E250" s="527"/>
      <c r="F250" s="487"/>
      <c r="G250" s="487"/>
      <c r="H250" s="487"/>
      <c r="I250" s="487"/>
      <c r="J250" s="487"/>
    </row>
    <row r="251" spans="1:10" ht="44.25" customHeight="1">
      <c r="A251" s="483"/>
      <c r="B251" s="486"/>
      <c r="C251" s="527"/>
      <c r="D251" s="527"/>
      <c r="E251" s="527"/>
      <c r="F251" s="487"/>
      <c r="G251" s="487"/>
      <c r="H251" s="487"/>
      <c r="I251" s="487"/>
      <c r="J251" s="487"/>
    </row>
    <row r="252" spans="1:10" ht="44.25" customHeight="1">
      <c r="A252" s="483"/>
      <c r="B252" s="486"/>
      <c r="C252" s="527"/>
      <c r="D252" s="527"/>
      <c r="E252" s="527"/>
      <c r="F252" s="487"/>
      <c r="G252" s="487"/>
      <c r="H252" s="487"/>
      <c r="I252" s="487"/>
      <c r="J252" s="487"/>
    </row>
    <row r="253" spans="1:10" ht="44.25" customHeight="1">
      <c r="A253" s="483"/>
      <c r="B253" s="486"/>
      <c r="C253" s="527"/>
      <c r="D253" s="527"/>
      <c r="E253" s="527"/>
      <c r="F253" s="487"/>
      <c r="G253" s="487"/>
      <c r="H253" s="487"/>
      <c r="I253" s="487"/>
      <c r="J253" s="487"/>
    </row>
    <row r="254" spans="1:10" ht="44.25" customHeight="1">
      <c r="A254" s="483"/>
      <c r="B254" s="486"/>
      <c r="C254" s="527"/>
      <c r="D254" s="527"/>
      <c r="E254" s="527"/>
      <c r="F254" s="487"/>
      <c r="G254" s="487"/>
      <c r="H254" s="487"/>
      <c r="I254" s="487"/>
      <c r="J254" s="487"/>
    </row>
    <row r="255" spans="1:10" ht="44.25" customHeight="1">
      <c r="A255" s="483"/>
      <c r="B255" s="486"/>
      <c r="C255" s="527"/>
      <c r="D255" s="527"/>
      <c r="E255" s="527"/>
      <c r="F255" s="487"/>
      <c r="G255" s="487"/>
      <c r="H255" s="487"/>
      <c r="I255" s="487"/>
      <c r="J255" s="487"/>
    </row>
    <row r="256" spans="1:10" ht="44.25" customHeight="1">
      <c r="A256" s="483"/>
      <c r="B256" s="486"/>
      <c r="C256" s="527"/>
      <c r="D256" s="527"/>
      <c r="E256" s="527"/>
      <c r="F256" s="487"/>
      <c r="G256" s="487"/>
      <c r="H256" s="487"/>
      <c r="I256" s="487"/>
      <c r="J256" s="487"/>
    </row>
    <row r="257" spans="1:10" ht="44.25" customHeight="1">
      <c r="A257" s="483"/>
      <c r="B257" s="486"/>
      <c r="C257" s="527"/>
      <c r="D257" s="527"/>
      <c r="E257" s="527"/>
      <c r="F257" s="487"/>
      <c r="G257" s="487"/>
      <c r="H257" s="487"/>
      <c r="I257" s="487"/>
      <c r="J257" s="487"/>
    </row>
    <row r="258" spans="1:10" ht="44.25" customHeight="1">
      <c r="A258" s="483"/>
      <c r="B258" s="486"/>
      <c r="C258" s="527"/>
      <c r="D258" s="527"/>
      <c r="E258" s="527"/>
      <c r="F258" s="487"/>
      <c r="G258" s="487"/>
      <c r="H258" s="487"/>
      <c r="I258" s="487"/>
      <c r="J258" s="487"/>
    </row>
    <row r="259" spans="1:10" ht="44.25" customHeight="1">
      <c r="A259" s="483"/>
      <c r="B259" s="486"/>
      <c r="C259" s="527"/>
      <c r="D259" s="527"/>
      <c r="E259" s="527"/>
      <c r="F259" s="487"/>
      <c r="G259" s="487"/>
      <c r="H259" s="487"/>
      <c r="I259" s="487"/>
      <c r="J259" s="487"/>
    </row>
    <row r="260" spans="1:10" ht="44.25" customHeight="1">
      <c r="A260" s="483"/>
      <c r="B260" s="486"/>
      <c r="C260" s="527"/>
      <c r="D260" s="527"/>
      <c r="E260" s="527"/>
      <c r="F260" s="487"/>
      <c r="G260" s="487"/>
      <c r="H260" s="487"/>
      <c r="I260" s="487"/>
      <c r="J260" s="487"/>
    </row>
    <row r="261" spans="1:10" ht="44.25" customHeight="1">
      <c r="A261" s="483"/>
      <c r="B261" s="486"/>
      <c r="C261" s="527"/>
      <c r="D261" s="527"/>
      <c r="E261" s="527"/>
      <c r="F261" s="487"/>
      <c r="G261" s="487"/>
      <c r="H261" s="487"/>
      <c r="I261" s="487"/>
      <c r="J261" s="487"/>
    </row>
    <row r="262" spans="1:10" ht="44.25" customHeight="1">
      <c r="A262" s="483"/>
      <c r="B262" s="486"/>
      <c r="C262" s="527"/>
      <c r="D262" s="527"/>
      <c r="E262" s="527"/>
      <c r="F262" s="487"/>
      <c r="G262" s="487"/>
      <c r="H262" s="487"/>
      <c r="I262" s="487"/>
      <c r="J262" s="487"/>
    </row>
    <row r="263" spans="1:10" ht="44.25" customHeight="1">
      <c r="A263" s="483"/>
      <c r="B263" s="486"/>
      <c r="C263" s="527"/>
      <c r="D263" s="527"/>
      <c r="E263" s="527"/>
      <c r="F263" s="487"/>
      <c r="G263" s="487"/>
      <c r="H263" s="487"/>
      <c r="I263" s="487"/>
      <c r="J263" s="487"/>
    </row>
    <row r="264" spans="1:10" ht="44.25" customHeight="1">
      <c r="A264" s="483"/>
      <c r="B264" s="486"/>
      <c r="C264" s="527"/>
      <c r="D264" s="527"/>
      <c r="E264" s="527"/>
      <c r="F264" s="487"/>
      <c r="G264" s="487"/>
      <c r="H264" s="487"/>
      <c r="I264" s="487"/>
      <c r="J264" s="487"/>
    </row>
    <row r="265" spans="1:10" ht="44.25" customHeight="1">
      <c r="A265" s="483"/>
      <c r="B265" s="486"/>
      <c r="C265" s="527"/>
      <c r="D265" s="527"/>
      <c r="E265" s="527"/>
      <c r="F265" s="487"/>
      <c r="G265" s="487"/>
      <c r="H265" s="487"/>
      <c r="I265" s="487"/>
      <c r="J265" s="487"/>
    </row>
    <row r="266" spans="1:10" ht="44.25" customHeight="1">
      <c r="A266" s="483"/>
      <c r="B266" s="486"/>
      <c r="C266" s="527"/>
      <c r="D266" s="527"/>
      <c r="E266" s="527"/>
      <c r="F266" s="487"/>
      <c r="G266" s="487"/>
      <c r="H266" s="487"/>
      <c r="I266" s="487"/>
      <c r="J266" s="487"/>
    </row>
    <row r="267" spans="1:10" ht="44.25" customHeight="1">
      <c r="A267" s="483"/>
      <c r="B267" s="486"/>
      <c r="C267" s="527"/>
      <c r="D267" s="527"/>
      <c r="E267" s="527"/>
      <c r="F267" s="487"/>
      <c r="G267" s="487"/>
      <c r="H267" s="487"/>
      <c r="I267" s="487"/>
      <c r="J267" s="487"/>
    </row>
    <row r="268" spans="1:10" ht="44.25" customHeight="1">
      <c r="A268" s="483"/>
      <c r="B268" s="486"/>
      <c r="C268" s="527"/>
      <c r="D268" s="527"/>
      <c r="E268" s="527"/>
      <c r="F268" s="487"/>
      <c r="G268" s="487"/>
      <c r="H268" s="487"/>
      <c r="I268" s="487"/>
      <c r="J268" s="487"/>
    </row>
    <row r="269" spans="1:10" ht="44.25" customHeight="1">
      <c r="A269" s="483"/>
      <c r="B269" s="486"/>
      <c r="C269" s="527"/>
      <c r="D269" s="527"/>
      <c r="E269" s="527"/>
      <c r="F269" s="487"/>
      <c r="G269" s="487"/>
      <c r="H269" s="487"/>
      <c r="I269" s="487"/>
      <c r="J269" s="487"/>
    </row>
    <row r="270" spans="1:10" ht="44.25" customHeight="1">
      <c r="A270" s="483"/>
      <c r="B270" s="486"/>
      <c r="C270" s="527"/>
      <c r="D270" s="527"/>
      <c r="E270" s="527"/>
      <c r="F270" s="487"/>
      <c r="G270" s="487"/>
      <c r="H270" s="487"/>
      <c r="I270" s="487"/>
      <c r="J270" s="487"/>
    </row>
    <row r="271" spans="1:10" ht="44.25" customHeight="1">
      <c r="A271" s="483"/>
      <c r="B271" s="486"/>
      <c r="C271" s="527"/>
      <c r="D271" s="527"/>
      <c r="E271" s="527"/>
      <c r="F271" s="487"/>
      <c r="G271" s="487"/>
      <c r="H271" s="487"/>
      <c r="I271" s="487"/>
      <c r="J271" s="487"/>
    </row>
    <row r="272" spans="1:10" ht="44.25" customHeight="1">
      <c r="A272" s="483"/>
      <c r="B272" s="486"/>
      <c r="C272" s="527"/>
      <c r="D272" s="527"/>
      <c r="E272" s="527"/>
      <c r="F272" s="487"/>
      <c r="G272" s="487"/>
      <c r="H272" s="487"/>
      <c r="I272" s="487"/>
      <c r="J272" s="487"/>
    </row>
    <row r="273" spans="1:10" ht="44.25" customHeight="1">
      <c r="A273" s="483"/>
      <c r="B273" s="486"/>
      <c r="C273" s="527"/>
      <c r="D273" s="527"/>
      <c r="E273" s="527"/>
      <c r="F273" s="487"/>
      <c r="G273" s="487"/>
      <c r="H273" s="487"/>
      <c r="I273" s="487"/>
      <c r="J273" s="487"/>
    </row>
    <row r="274" spans="1:10" ht="44.25" customHeight="1">
      <c r="A274" s="483"/>
      <c r="B274" s="486"/>
      <c r="C274" s="527"/>
      <c r="D274" s="527"/>
      <c r="E274" s="527"/>
      <c r="F274" s="487"/>
      <c r="G274" s="487"/>
      <c r="H274" s="487"/>
      <c r="I274" s="487"/>
      <c r="J274" s="487"/>
    </row>
    <row r="275" spans="1:10" ht="44.25" customHeight="1">
      <c r="A275" s="483"/>
      <c r="B275" s="486"/>
      <c r="C275" s="527"/>
      <c r="D275" s="527"/>
      <c r="E275" s="527"/>
      <c r="F275" s="487"/>
      <c r="G275" s="487"/>
      <c r="H275" s="487"/>
      <c r="I275" s="487"/>
      <c r="J275" s="487"/>
    </row>
    <row r="276" spans="1:10" ht="44.25" customHeight="1">
      <c r="A276" s="483"/>
      <c r="B276" s="486"/>
      <c r="C276" s="527"/>
      <c r="D276" s="527"/>
      <c r="E276" s="527"/>
      <c r="F276" s="487"/>
      <c r="G276" s="487"/>
      <c r="H276" s="487"/>
      <c r="I276" s="487"/>
      <c r="J276" s="487"/>
    </row>
    <row r="277" spans="1:10" ht="44.25" customHeight="1">
      <c r="A277" s="483"/>
      <c r="B277" s="486"/>
      <c r="C277" s="527"/>
      <c r="D277" s="527"/>
      <c r="E277" s="527"/>
      <c r="F277" s="487"/>
      <c r="G277" s="487"/>
      <c r="H277" s="487"/>
      <c r="I277" s="487"/>
      <c r="J277" s="487"/>
    </row>
    <row r="278" spans="1:10" ht="44.25" customHeight="1">
      <c r="A278" s="483"/>
      <c r="B278" s="486"/>
      <c r="C278" s="527"/>
      <c r="D278" s="527"/>
      <c r="E278" s="527"/>
      <c r="F278" s="487"/>
      <c r="G278" s="487"/>
      <c r="H278" s="487"/>
      <c r="I278" s="487"/>
      <c r="J278" s="487"/>
    </row>
  </sheetData>
  <sheetProtection/>
  <mergeCells count="10">
    <mergeCell ref="A4:A5"/>
    <mergeCell ref="B4:B5"/>
    <mergeCell ref="C4:C5"/>
    <mergeCell ref="D4:D5"/>
    <mergeCell ref="G1:H1"/>
    <mergeCell ref="I1:J1"/>
    <mergeCell ref="B2:J2"/>
    <mergeCell ref="B3:J3"/>
    <mergeCell ref="E4:E5"/>
    <mergeCell ref="F4:J4"/>
  </mergeCells>
  <printOptions/>
  <pageMargins left="0.56" right="0.25" top="0.75" bottom="0.75" header="0.3" footer="0.3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N278"/>
  <sheetViews>
    <sheetView view="pageBreakPreview" zoomScale="70" zoomScaleNormal="90" zoomScaleSheetLayoutView="70" zoomScalePageLayoutView="0" workbookViewId="0" topLeftCell="A4">
      <pane xSplit="3" ySplit="4" topLeftCell="D87" activePane="bottomRight" state="frozen"/>
      <selection pane="topLeft" activeCell="A4" sqref="A4"/>
      <selection pane="topRight" activeCell="D4" sqref="D4"/>
      <selection pane="bottomLeft" activeCell="A8" sqref="A8"/>
      <selection pane="bottomRight" activeCell="K62" sqref="K62"/>
    </sheetView>
  </sheetViews>
  <sheetFormatPr defaultColWidth="9.140625" defaultRowHeight="12.75"/>
  <cols>
    <col min="1" max="1" width="5.421875" style="367" customWidth="1"/>
    <col min="2" max="2" width="41.7109375" style="365" customWidth="1"/>
    <col min="3" max="3" width="11.8515625" style="528" customWidth="1"/>
    <col min="4" max="5" width="15.57421875" style="528" customWidth="1"/>
    <col min="6" max="6" width="15.8515625" style="364" customWidth="1"/>
    <col min="7" max="7" width="15.57421875" style="364" customWidth="1"/>
    <col min="8" max="8" width="15.00390625" style="364" customWidth="1"/>
    <col min="9" max="9" width="16.57421875" style="364" customWidth="1"/>
    <col min="10" max="10" width="15.28125" style="364" customWidth="1"/>
    <col min="11" max="11" width="16.7109375" style="367" customWidth="1"/>
    <col min="12" max="12" width="16.7109375" style="364" customWidth="1"/>
    <col min="13" max="13" width="12.00390625" style="364" hidden="1" customWidth="1"/>
    <col min="14" max="14" width="15.00390625" style="364" customWidth="1"/>
    <col min="15" max="16384" width="9.140625" style="364" customWidth="1"/>
  </cols>
  <sheetData>
    <row r="1" spans="1:13" s="460" customFormat="1" ht="18.75">
      <c r="A1" s="410"/>
      <c r="B1" s="406" t="s">
        <v>552</v>
      </c>
      <c r="C1" s="385"/>
      <c r="D1" s="398"/>
      <c r="E1" s="398"/>
      <c r="F1" s="386"/>
      <c r="G1" s="386"/>
      <c r="H1" s="386"/>
      <c r="I1" s="529"/>
      <c r="J1" s="529"/>
      <c r="K1" s="963" t="s">
        <v>565</v>
      </c>
      <c r="L1" s="963"/>
      <c r="M1" s="963"/>
    </row>
    <row r="2" spans="2:12" ht="19.5">
      <c r="B2" s="964" t="s">
        <v>647</v>
      </c>
      <c r="C2" s="964"/>
      <c r="D2" s="964"/>
      <c r="E2" s="964"/>
      <c r="F2" s="964"/>
      <c r="G2" s="964"/>
      <c r="H2" s="964"/>
      <c r="I2" s="964"/>
      <c r="J2" s="964"/>
      <c r="K2" s="964"/>
      <c r="L2" s="964"/>
    </row>
    <row r="3" spans="1:11" ht="16.5">
      <c r="A3" s="483"/>
      <c r="B3" s="962" t="s">
        <v>333</v>
      </c>
      <c r="C3" s="962"/>
      <c r="D3" s="962"/>
      <c r="E3" s="962"/>
      <c r="F3" s="962"/>
      <c r="G3" s="962"/>
      <c r="H3" s="962"/>
      <c r="I3" s="962"/>
      <c r="J3" s="962"/>
      <c r="K3" s="962"/>
    </row>
    <row r="4" spans="1:11" ht="16.5">
      <c r="A4" s="483"/>
      <c r="B4" s="501"/>
      <c r="C4" s="501"/>
      <c r="D4" s="501"/>
      <c r="E4" s="501"/>
      <c r="F4" s="501"/>
      <c r="G4" s="501"/>
      <c r="H4" s="501"/>
      <c r="I4" s="501"/>
      <c r="J4" s="501"/>
      <c r="K4" s="501"/>
    </row>
    <row r="5" spans="1:13" ht="39" customHeight="1">
      <c r="A5" s="961" t="s">
        <v>443</v>
      </c>
      <c r="B5" s="961" t="s">
        <v>287</v>
      </c>
      <c r="C5" s="961" t="s">
        <v>184</v>
      </c>
      <c r="D5" s="961" t="s">
        <v>323</v>
      </c>
      <c r="E5" s="961" t="s">
        <v>476</v>
      </c>
      <c r="F5" s="961" t="s">
        <v>477</v>
      </c>
      <c r="G5" s="961"/>
      <c r="H5" s="961"/>
      <c r="I5" s="961"/>
      <c r="J5" s="961"/>
      <c r="K5" s="961" t="s">
        <v>478</v>
      </c>
      <c r="L5" s="961" t="s">
        <v>479</v>
      </c>
      <c r="M5" s="961" t="s">
        <v>480</v>
      </c>
    </row>
    <row r="6" spans="1:13" s="366" customFormat="1" ht="39" customHeight="1">
      <c r="A6" s="961"/>
      <c r="B6" s="961"/>
      <c r="C6" s="961"/>
      <c r="D6" s="961"/>
      <c r="E6" s="961"/>
      <c r="F6" s="368" t="s">
        <v>701</v>
      </c>
      <c r="G6" s="368" t="s">
        <v>702</v>
      </c>
      <c r="H6" s="368" t="s">
        <v>703</v>
      </c>
      <c r="I6" s="368" t="s">
        <v>704</v>
      </c>
      <c r="J6" s="368" t="s">
        <v>705</v>
      </c>
      <c r="K6" s="961"/>
      <c r="L6" s="961"/>
      <c r="M6" s="961"/>
    </row>
    <row r="7" spans="1:13" s="554" customFormat="1" ht="22.5" customHeight="1">
      <c r="A7" s="372" t="s">
        <v>3</v>
      </c>
      <c r="B7" s="369" t="s">
        <v>288</v>
      </c>
      <c r="C7" s="574"/>
      <c r="D7" s="370"/>
      <c r="E7" s="370"/>
      <c r="F7" s="371"/>
      <c r="G7" s="371"/>
      <c r="H7" s="371"/>
      <c r="I7" s="371"/>
      <c r="J7" s="371"/>
      <c r="K7" s="372"/>
      <c r="L7" s="372"/>
      <c r="M7" s="371"/>
    </row>
    <row r="8" spans="1:13" s="554" customFormat="1" ht="35.25" customHeight="1">
      <c r="A8" s="372">
        <v>1</v>
      </c>
      <c r="B8" s="373" t="s">
        <v>669</v>
      </c>
      <c r="C8" s="574"/>
      <c r="D8" s="370"/>
      <c r="E8" s="370"/>
      <c r="F8" s="380"/>
      <c r="G8" s="380"/>
      <c r="H8" s="380"/>
      <c r="I8" s="380"/>
      <c r="J8" s="380"/>
      <c r="K8" s="372"/>
      <c r="L8" s="372"/>
      <c r="M8" s="371"/>
    </row>
    <row r="9" spans="1:14" s="554" customFormat="1" ht="22.5" customHeight="1">
      <c r="A9" s="372"/>
      <c r="B9" s="373" t="s">
        <v>339</v>
      </c>
      <c r="C9" s="773" t="s">
        <v>310</v>
      </c>
      <c r="D9" s="728">
        <f aca="true" t="shared" si="0" ref="D9:K9">D22</f>
        <v>1123.8</v>
      </c>
      <c r="E9" s="728">
        <f t="shared" si="0"/>
        <v>1769.3104199999998</v>
      </c>
      <c r="F9" s="728">
        <f t="shared" si="0"/>
        <v>1888.8144000000002</v>
      </c>
      <c r="G9" s="728">
        <f t="shared" si="0"/>
        <v>2130.460434</v>
      </c>
      <c r="H9" s="728">
        <f t="shared" si="0"/>
        <v>2392.4916000000003</v>
      </c>
      <c r="I9" s="728">
        <f t="shared" si="0"/>
        <v>2656.545725</v>
      </c>
      <c r="J9" s="728">
        <f t="shared" si="0"/>
        <v>2975.3176000000003</v>
      </c>
      <c r="K9" s="728">
        <f t="shared" si="0"/>
        <v>2408.7259518</v>
      </c>
      <c r="L9" s="372" t="s">
        <v>36</v>
      </c>
      <c r="M9" s="371"/>
      <c r="N9" s="557"/>
    </row>
    <row r="10" spans="1:13" s="557" customFormat="1" ht="22.5" customHeight="1">
      <c r="A10" s="555"/>
      <c r="B10" s="375" t="s">
        <v>338</v>
      </c>
      <c r="C10" s="808" t="s">
        <v>5</v>
      </c>
      <c r="D10" s="905"/>
      <c r="E10" s="905">
        <v>11.5</v>
      </c>
      <c r="F10" s="906">
        <v>9.34</v>
      </c>
      <c r="G10" s="906">
        <f>G9/F9*100-100</f>
        <v>12.793529846024043</v>
      </c>
      <c r="H10" s="906">
        <f>H9/G9*100-100</f>
        <v>12.299273988770082</v>
      </c>
      <c r="I10" s="906">
        <f>I9/H9*100-100</f>
        <v>11.036783786409089</v>
      </c>
      <c r="J10" s="906">
        <f>J9/I9*100-100</f>
        <v>11.999487605281118</v>
      </c>
      <c r="K10" s="906">
        <f>SUM(F10:J10)/5</f>
        <v>11.493815045296866</v>
      </c>
      <c r="L10" s="374" t="s">
        <v>36</v>
      </c>
      <c r="M10" s="556"/>
    </row>
    <row r="11" spans="1:14" s="554" customFormat="1" ht="22.5" customHeight="1">
      <c r="A11" s="372"/>
      <c r="B11" s="376" t="s">
        <v>335</v>
      </c>
      <c r="C11" s="773" t="s">
        <v>310</v>
      </c>
      <c r="D11" s="643">
        <f aca="true" t="shared" si="1" ref="D11:I11">D22*D35/100</f>
        <v>532.6812</v>
      </c>
      <c r="E11" s="643">
        <f t="shared" si="1"/>
        <v>585.287886936</v>
      </c>
      <c r="F11" s="643">
        <f t="shared" si="1"/>
        <v>662.9738544000002</v>
      </c>
      <c r="G11" s="643">
        <f t="shared" si="1"/>
        <v>700.921482786</v>
      </c>
      <c r="H11" s="643">
        <f t="shared" si="1"/>
        <v>724.9249548000001</v>
      </c>
      <c r="I11" s="643">
        <f t="shared" si="1"/>
        <v>751.8024401749999</v>
      </c>
      <c r="J11" s="643">
        <v>787.2</v>
      </c>
      <c r="K11" s="643">
        <f>SUM(F11:J11)/5</f>
        <v>725.5645464322</v>
      </c>
      <c r="L11" s="374" t="s">
        <v>36</v>
      </c>
      <c r="M11" s="371"/>
      <c r="N11" s="557"/>
    </row>
    <row r="12" spans="1:14" s="557" customFormat="1" ht="22.5" customHeight="1">
      <c r="A12" s="555"/>
      <c r="B12" s="375" t="s">
        <v>338</v>
      </c>
      <c r="C12" s="809" t="s">
        <v>5</v>
      </c>
      <c r="D12" s="905"/>
      <c r="E12" s="905">
        <v>4</v>
      </c>
      <c r="F12" s="906">
        <f>K12*5-SUM(G12:J12)</f>
        <v>3.6856083577164895</v>
      </c>
      <c r="G12" s="906">
        <f>G11/F11*100-100</f>
        <v>5.72384991265497</v>
      </c>
      <c r="H12" s="906">
        <f>H11/G11*100-100</f>
        <v>3.424559327043596</v>
      </c>
      <c r="I12" s="906">
        <f>I11/H11*100-100</f>
        <v>3.707623140441484</v>
      </c>
      <c r="J12" s="906">
        <f>J11/I11*100-100</f>
        <v>4.7083592621434605</v>
      </c>
      <c r="K12" s="906">
        <v>4.25</v>
      </c>
      <c r="L12" s="374" t="s">
        <v>36</v>
      </c>
      <c r="M12" s="556"/>
      <c r="N12" s="810"/>
    </row>
    <row r="13" spans="1:14" s="554" customFormat="1" ht="22.5" customHeight="1">
      <c r="A13" s="372"/>
      <c r="B13" s="376" t="s">
        <v>336</v>
      </c>
      <c r="C13" s="773" t="s">
        <v>310</v>
      </c>
      <c r="D13" s="643">
        <f aca="true" t="shared" si="2" ref="D13:I13">D22*D36/100</f>
        <v>196.665</v>
      </c>
      <c r="E13" s="643">
        <f t="shared" si="2"/>
        <v>467.451812964</v>
      </c>
      <c r="F13" s="643">
        <f t="shared" si="2"/>
        <v>536.4232896000001</v>
      </c>
      <c r="G13" s="643">
        <f t="shared" si="2"/>
        <v>628.48582803</v>
      </c>
      <c r="H13" s="643">
        <f t="shared" si="2"/>
        <v>720.1399716000001</v>
      </c>
      <c r="I13" s="643">
        <f t="shared" si="2"/>
        <v>812.9029918499999</v>
      </c>
      <c r="J13" s="643">
        <f>J9-J11-J15</f>
        <v>962.1176000000005</v>
      </c>
      <c r="K13" s="643">
        <f>SUM(F13:J13)/5</f>
        <v>732.013936216</v>
      </c>
      <c r="L13" s="374" t="s">
        <v>36</v>
      </c>
      <c r="M13" s="371"/>
      <c r="N13" s="557"/>
    </row>
    <row r="14" spans="1:13" s="557" customFormat="1" ht="22.5" customHeight="1">
      <c r="A14" s="555"/>
      <c r="B14" s="375" t="s">
        <v>338</v>
      </c>
      <c r="C14" s="809" t="s">
        <v>5</v>
      </c>
      <c r="D14" s="905"/>
      <c r="E14" s="905">
        <v>13</v>
      </c>
      <c r="F14" s="906">
        <f>K14*5-SUM(G14:J14)</f>
        <v>9.417360450464727</v>
      </c>
      <c r="G14" s="906">
        <f>G13/F13*100-100</f>
        <v>17.162293325975654</v>
      </c>
      <c r="H14" s="906">
        <f>H13/G13*100-100</f>
        <v>14.58332701905016</v>
      </c>
      <c r="I14" s="906">
        <f>I13/H13*100-100</f>
        <v>12.881248633359405</v>
      </c>
      <c r="J14" s="906">
        <f>J13/I13*100-100</f>
        <v>18.35577057115006</v>
      </c>
      <c r="K14" s="906">
        <v>14.48</v>
      </c>
      <c r="L14" s="374" t="s">
        <v>36</v>
      </c>
      <c r="M14" s="556"/>
    </row>
    <row r="15" spans="1:14" s="554" customFormat="1" ht="22.5" customHeight="1">
      <c r="A15" s="372"/>
      <c r="B15" s="376" t="s">
        <v>337</v>
      </c>
      <c r="C15" s="773" t="s">
        <v>310</v>
      </c>
      <c r="D15" s="643">
        <f aca="true" t="shared" si="3" ref="D15:I15">D22*D37/100</f>
        <v>394.4538</v>
      </c>
      <c r="E15" s="643">
        <f t="shared" si="3"/>
        <v>716.5707200999999</v>
      </c>
      <c r="F15" s="643">
        <f t="shared" si="3"/>
        <v>689.4172560000002</v>
      </c>
      <c r="G15" s="643">
        <f t="shared" si="3"/>
        <v>801.0531231839999</v>
      </c>
      <c r="H15" s="643">
        <f t="shared" si="3"/>
        <v>947.4266736000002</v>
      </c>
      <c r="I15" s="643">
        <f t="shared" si="3"/>
        <v>1091.840292975</v>
      </c>
      <c r="J15" s="643">
        <v>1226</v>
      </c>
      <c r="K15" s="643">
        <f>SUM(F15:J15)/5</f>
        <v>951.1474691518</v>
      </c>
      <c r="L15" s="374" t="s">
        <v>36</v>
      </c>
      <c r="M15" s="371"/>
      <c r="N15" s="557"/>
    </row>
    <row r="16" spans="1:13" s="557" customFormat="1" ht="22.5" customHeight="1">
      <c r="A16" s="555"/>
      <c r="B16" s="375" t="s">
        <v>338</v>
      </c>
      <c r="C16" s="809" t="s">
        <v>5</v>
      </c>
      <c r="D16" s="905"/>
      <c r="E16" s="905">
        <v>15</v>
      </c>
      <c r="F16" s="906">
        <f>K16*5-SUM(G16:J16)</f>
        <v>17.50436637355594</v>
      </c>
      <c r="G16" s="906">
        <f>G15/F15*100-100</f>
        <v>16.192786909876773</v>
      </c>
      <c r="H16" s="906">
        <f>H15/G15*100-100</f>
        <v>18.27263962647065</v>
      </c>
      <c r="I16" s="906">
        <f>I15/H15*100-100</f>
        <v>15.242722566197315</v>
      </c>
      <c r="J16" s="906">
        <f>J15/I15*100-100</f>
        <v>12.287484523899323</v>
      </c>
      <c r="K16" s="906">
        <v>15.9</v>
      </c>
      <c r="L16" s="374" t="s">
        <v>36</v>
      </c>
      <c r="M16" s="556"/>
    </row>
    <row r="17" spans="1:13" s="554" customFormat="1" ht="22.5" customHeight="1">
      <c r="A17" s="372"/>
      <c r="B17" s="375" t="s">
        <v>214</v>
      </c>
      <c r="C17" s="575"/>
      <c r="D17" s="642"/>
      <c r="E17" s="642"/>
      <c r="F17" s="642"/>
      <c r="G17" s="642"/>
      <c r="H17" s="642"/>
      <c r="I17" s="642"/>
      <c r="J17" s="642"/>
      <c r="K17" s="584"/>
      <c r="L17" s="374"/>
      <c r="M17" s="371"/>
    </row>
    <row r="18" spans="1:13" s="554" customFormat="1" ht="22.5" customHeight="1">
      <c r="A18" s="372"/>
      <c r="B18" s="376" t="s">
        <v>289</v>
      </c>
      <c r="C18" s="575" t="s">
        <v>303</v>
      </c>
      <c r="D18" s="642"/>
      <c r="E18" s="642"/>
      <c r="F18" s="584"/>
      <c r="G18" s="584"/>
      <c r="H18" s="584"/>
      <c r="I18" s="584"/>
      <c r="J18" s="584"/>
      <c r="K18" s="584"/>
      <c r="L18" s="372"/>
      <c r="M18" s="371"/>
    </row>
    <row r="19" spans="1:13" s="554" customFormat="1" ht="22.5" customHeight="1">
      <c r="A19" s="372"/>
      <c r="B19" s="376" t="s">
        <v>290</v>
      </c>
      <c r="C19" s="575" t="s">
        <v>303</v>
      </c>
      <c r="D19" s="642"/>
      <c r="E19" s="642"/>
      <c r="F19" s="642"/>
      <c r="G19" s="642"/>
      <c r="H19" s="642"/>
      <c r="I19" s="642"/>
      <c r="J19" s="642"/>
      <c r="K19" s="584"/>
      <c r="L19" s="372"/>
      <c r="M19" s="371"/>
    </row>
    <row r="20" spans="1:13" s="554" customFormat="1" ht="22.5" customHeight="1">
      <c r="A20" s="372"/>
      <c r="B20" s="376" t="s">
        <v>291</v>
      </c>
      <c r="C20" s="575" t="s">
        <v>303</v>
      </c>
      <c r="D20" s="642"/>
      <c r="E20" s="642"/>
      <c r="F20" s="642"/>
      <c r="G20" s="642"/>
      <c r="H20" s="642"/>
      <c r="I20" s="642"/>
      <c r="J20" s="642"/>
      <c r="K20" s="584"/>
      <c r="L20" s="372"/>
      <c r="M20" s="371"/>
    </row>
    <row r="21" spans="1:13" s="554" customFormat="1" ht="22.5" customHeight="1">
      <c r="A21" s="372">
        <v>2</v>
      </c>
      <c r="B21" s="373" t="s">
        <v>330</v>
      </c>
      <c r="C21" s="575"/>
      <c r="D21" s="651"/>
      <c r="E21" s="651"/>
      <c r="F21" s="595"/>
      <c r="G21" s="595"/>
      <c r="H21" s="595"/>
      <c r="I21" s="595"/>
      <c r="J21" s="595"/>
      <c r="K21" s="595"/>
      <c r="L21" s="372"/>
      <c r="M21" s="371"/>
    </row>
    <row r="22" spans="1:14" s="487" customFormat="1" ht="22.5" customHeight="1">
      <c r="A22" s="374"/>
      <c r="B22" s="376" t="s">
        <v>319</v>
      </c>
      <c r="C22" s="576" t="s">
        <v>665</v>
      </c>
      <c r="D22" s="584">
        <v>1123.8</v>
      </c>
      <c r="E22" s="642">
        <v>1769.3104199999998</v>
      </c>
      <c r="F22" s="584">
        <v>1888.8144000000002</v>
      </c>
      <c r="G22" s="584">
        <v>2130.460434</v>
      </c>
      <c r="H22" s="584">
        <v>2392.4916000000003</v>
      </c>
      <c r="I22" s="584">
        <v>2656.545725</v>
      </c>
      <c r="J22" s="584">
        <v>2975.3176000000003</v>
      </c>
      <c r="K22" s="584">
        <v>2408.7259518</v>
      </c>
      <c r="L22" s="374" t="s">
        <v>36</v>
      </c>
      <c r="M22" s="377"/>
      <c r="N22" s="811"/>
    </row>
    <row r="23" spans="1:13" s="487" customFormat="1" ht="22.5" customHeight="1">
      <c r="A23" s="374"/>
      <c r="B23" s="376" t="s">
        <v>320</v>
      </c>
      <c r="C23" s="575" t="s">
        <v>304</v>
      </c>
      <c r="D23" s="642"/>
      <c r="E23" s="642"/>
      <c r="F23" s="642"/>
      <c r="G23" s="642"/>
      <c r="H23" s="642"/>
      <c r="I23" s="642"/>
      <c r="J23" s="642"/>
      <c r="K23" s="584"/>
      <c r="L23" s="374"/>
      <c r="M23" s="377"/>
    </row>
    <row r="24" spans="1:13" s="487" customFormat="1" ht="22.5" customHeight="1">
      <c r="A24" s="374"/>
      <c r="B24" s="376" t="s">
        <v>321</v>
      </c>
      <c r="C24" s="575" t="s">
        <v>310</v>
      </c>
      <c r="D24" s="642">
        <v>19</v>
      </c>
      <c r="E24" s="642">
        <v>23</v>
      </c>
      <c r="F24" s="642">
        <v>22</v>
      </c>
      <c r="G24" s="642">
        <v>24</v>
      </c>
      <c r="H24" s="642">
        <v>27</v>
      </c>
      <c r="I24" s="642">
        <v>29</v>
      </c>
      <c r="J24" s="642">
        <v>32</v>
      </c>
      <c r="K24" s="584">
        <f>+(J24+I24+H24+G24+F24)/5</f>
        <v>26.8</v>
      </c>
      <c r="L24" s="374" t="s">
        <v>36</v>
      </c>
      <c r="M24" s="377"/>
    </row>
    <row r="25" spans="1:13" s="554" customFormat="1" ht="22.5" customHeight="1">
      <c r="A25" s="372">
        <v>3</v>
      </c>
      <c r="B25" s="373" t="s">
        <v>342</v>
      </c>
      <c r="C25" s="575"/>
      <c r="D25" s="651"/>
      <c r="E25" s="651"/>
      <c r="F25" s="595"/>
      <c r="G25" s="595"/>
      <c r="H25" s="595"/>
      <c r="I25" s="595"/>
      <c r="J25" s="595"/>
      <c r="K25" s="595"/>
      <c r="L25" s="372"/>
      <c r="M25" s="371"/>
    </row>
    <row r="26" spans="1:13" s="554" customFormat="1" ht="22.5" customHeight="1">
      <c r="A26" s="372"/>
      <c r="B26" s="373" t="s">
        <v>339</v>
      </c>
      <c r="C26" s="812" t="s">
        <v>310</v>
      </c>
      <c r="D26" s="651"/>
      <c r="E26" s="651"/>
      <c r="F26" s="651"/>
      <c r="G26" s="651"/>
      <c r="H26" s="651"/>
      <c r="I26" s="651"/>
      <c r="J26" s="651"/>
      <c r="K26" s="595"/>
      <c r="L26" s="372"/>
      <c r="M26" s="371"/>
    </row>
    <row r="27" spans="1:13" s="487" customFormat="1" ht="22.5" customHeight="1">
      <c r="A27" s="374"/>
      <c r="B27" s="375" t="s">
        <v>343</v>
      </c>
      <c r="C27" s="773"/>
      <c r="D27" s="642"/>
      <c r="E27" s="642"/>
      <c r="F27" s="642"/>
      <c r="G27" s="642"/>
      <c r="H27" s="642"/>
      <c r="I27" s="642"/>
      <c r="J27" s="642"/>
      <c r="K27" s="584"/>
      <c r="L27" s="374"/>
      <c r="M27" s="377"/>
    </row>
    <row r="28" spans="1:13" s="554" customFormat="1" ht="22.5" customHeight="1">
      <c r="A28" s="372"/>
      <c r="B28" s="376" t="s">
        <v>335</v>
      </c>
      <c r="C28" s="773" t="s">
        <v>310</v>
      </c>
      <c r="D28" s="651"/>
      <c r="E28" s="651"/>
      <c r="F28" s="584"/>
      <c r="G28" s="584"/>
      <c r="H28" s="584"/>
      <c r="I28" s="584"/>
      <c r="J28" s="584"/>
      <c r="K28" s="595"/>
      <c r="L28" s="372"/>
      <c r="M28" s="371"/>
    </row>
    <row r="29" spans="1:13" s="557" customFormat="1" ht="22.5" customHeight="1">
      <c r="A29" s="555"/>
      <c r="B29" s="375" t="s">
        <v>338</v>
      </c>
      <c r="C29" s="576" t="s">
        <v>303</v>
      </c>
      <c r="D29" s="813"/>
      <c r="E29" s="813"/>
      <c r="F29" s="813"/>
      <c r="G29" s="813"/>
      <c r="H29" s="813"/>
      <c r="I29" s="813"/>
      <c r="J29" s="813"/>
      <c r="K29" s="813"/>
      <c r="L29" s="556"/>
      <c r="M29" s="556"/>
    </row>
    <row r="30" spans="1:13" s="554" customFormat="1" ht="22.5" customHeight="1">
      <c r="A30" s="372"/>
      <c r="B30" s="376" t="s">
        <v>336</v>
      </c>
      <c r="C30" s="773" t="s">
        <v>310</v>
      </c>
      <c r="D30" s="642"/>
      <c r="E30" s="642"/>
      <c r="F30" s="584"/>
      <c r="G30" s="584"/>
      <c r="H30" s="584"/>
      <c r="I30" s="584"/>
      <c r="J30" s="584"/>
      <c r="K30" s="584"/>
      <c r="L30" s="374"/>
      <c r="M30" s="371"/>
    </row>
    <row r="31" spans="1:13" s="557" customFormat="1" ht="22.5" customHeight="1">
      <c r="A31" s="555"/>
      <c r="B31" s="375" t="s">
        <v>338</v>
      </c>
      <c r="C31" s="576" t="s">
        <v>303</v>
      </c>
      <c r="D31" s="813"/>
      <c r="E31" s="813"/>
      <c r="F31" s="813"/>
      <c r="G31" s="814"/>
      <c r="H31" s="813"/>
      <c r="I31" s="813"/>
      <c r="J31" s="813"/>
      <c r="K31" s="813"/>
      <c r="L31" s="556"/>
      <c r="M31" s="556"/>
    </row>
    <row r="32" spans="1:13" s="554" customFormat="1" ht="22.5" customHeight="1">
      <c r="A32" s="372"/>
      <c r="B32" s="376" t="s">
        <v>337</v>
      </c>
      <c r="C32" s="773" t="s">
        <v>310</v>
      </c>
      <c r="D32" s="642"/>
      <c r="E32" s="642"/>
      <c r="F32" s="584"/>
      <c r="G32" s="813"/>
      <c r="H32" s="584"/>
      <c r="I32" s="584"/>
      <c r="J32" s="584"/>
      <c r="K32" s="595"/>
      <c r="L32" s="374"/>
      <c r="M32" s="371"/>
    </row>
    <row r="33" spans="1:13" s="557" customFormat="1" ht="22.5" customHeight="1">
      <c r="A33" s="555"/>
      <c r="B33" s="375" t="s">
        <v>338</v>
      </c>
      <c r="C33" s="576" t="s">
        <v>303</v>
      </c>
      <c r="D33" s="813"/>
      <c r="E33" s="813"/>
      <c r="F33" s="813"/>
      <c r="G33" s="813"/>
      <c r="H33" s="813"/>
      <c r="I33" s="813"/>
      <c r="J33" s="813"/>
      <c r="K33" s="813"/>
      <c r="L33" s="556"/>
      <c r="M33" s="556"/>
    </row>
    <row r="34" spans="1:13" s="554" customFormat="1" ht="22.5" customHeight="1">
      <c r="A34" s="372"/>
      <c r="B34" s="373" t="s">
        <v>340</v>
      </c>
      <c r="C34" s="815"/>
      <c r="D34" s="651"/>
      <c r="E34" s="651"/>
      <c r="F34" s="651"/>
      <c r="G34" s="651"/>
      <c r="H34" s="651"/>
      <c r="I34" s="651"/>
      <c r="J34" s="651"/>
      <c r="K34" s="651"/>
      <c r="L34" s="372"/>
      <c r="M34" s="371"/>
    </row>
    <row r="35" spans="1:14" s="487" customFormat="1" ht="22.5" customHeight="1">
      <c r="A35" s="374"/>
      <c r="B35" s="376" t="s">
        <v>289</v>
      </c>
      <c r="C35" s="575" t="s">
        <v>303</v>
      </c>
      <c r="D35" s="642">
        <v>47.4</v>
      </c>
      <c r="E35" s="642">
        <v>33.08</v>
      </c>
      <c r="F35" s="584">
        <v>35.1</v>
      </c>
      <c r="G35" s="584">
        <v>32.9</v>
      </c>
      <c r="H35" s="584">
        <v>30.3</v>
      </c>
      <c r="I35" s="584">
        <v>28.3</v>
      </c>
      <c r="J35" s="584">
        <v>26.45</v>
      </c>
      <c r="K35" s="642">
        <f>+(J35+I35+H35+G35+F35)/5</f>
        <v>30.609999999999996</v>
      </c>
      <c r="L35" s="374" t="s">
        <v>36</v>
      </c>
      <c r="M35" s="377"/>
      <c r="N35" s="818"/>
    </row>
    <row r="36" spans="1:13" s="487" customFormat="1" ht="22.5" customHeight="1">
      <c r="A36" s="374"/>
      <c r="B36" s="376" t="s">
        <v>290</v>
      </c>
      <c r="C36" s="575" t="s">
        <v>303</v>
      </c>
      <c r="D36" s="642">
        <v>17.5</v>
      </c>
      <c r="E36" s="642">
        <v>26.42</v>
      </c>
      <c r="F36" s="584">
        <v>28.4</v>
      </c>
      <c r="G36" s="584">
        <v>29.5</v>
      </c>
      <c r="H36" s="584">
        <v>30.1</v>
      </c>
      <c r="I36" s="584">
        <v>30.6</v>
      </c>
      <c r="J36" s="584">
        <v>32.33</v>
      </c>
      <c r="K36" s="642">
        <f>+(J36+I36+H36+G36+F36)/5</f>
        <v>30.186</v>
      </c>
      <c r="L36" s="374" t="s">
        <v>36</v>
      </c>
      <c r="M36" s="377"/>
    </row>
    <row r="37" spans="1:13" s="487" customFormat="1" ht="22.5" customHeight="1">
      <c r="A37" s="374"/>
      <c r="B37" s="376" t="s">
        <v>291</v>
      </c>
      <c r="C37" s="575" t="s">
        <v>303</v>
      </c>
      <c r="D37" s="642">
        <v>35.1</v>
      </c>
      <c r="E37" s="642">
        <v>40.5</v>
      </c>
      <c r="F37" s="584">
        <v>36.50000000000001</v>
      </c>
      <c r="G37" s="584">
        <v>37.599999999999994</v>
      </c>
      <c r="H37" s="584">
        <v>39.6</v>
      </c>
      <c r="I37" s="584">
        <v>41.1</v>
      </c>
      <c r="J37" s="584">
        <v>41.22</v>
      </c>
      <c r="K37" s="642">
        <f>+(J37+I37+H37+G37+F37)/5</f>
        <v>39.20399999999999</v>
      </c>
      <c r="L37" s="374" t="s">
        <v>42</v>
      </c>
      <c r="M37" s="377"/>
    </row>
    <row r="38" spans="1:13" s="554" customFormat="1" ht="22.5" customHeight="1">
      <c r="A38" s="372">
        <v>4</v>
      </c>
      <c r="B38" s="373" t="s">
        <v>317</v>
      </c>
      <c r="C38" s="575" t="s">
        <v>303</v>
      </c>
      <c r="D38" s="651">
        <v>30</v>
      </c>
      <c r="E38" s="651">
        <v>34</v>
      </c>
      <c r="F38" s="595">
        <v>35</v>
      </c>
      <c r="G38" s="595">
        <v>36.5</v>
      </c>
      <c r="H38" s="595">
        <v>37.5</v>
      </c>
      <c r="I38" s="595">
        <v>31.5</v>
      </c>
      <c r="J38" s="595">
        <v>33</v>
      </c>
      <c r="K38" s="651">
        <f>SUM(F38:J38)/5</f>
        <v>34.7</v>
      </c>
      <c r="L38" s="372" t="s">
        <v>36</v>
      </c>
      <c r="M38" s="371"/>
    </row>
    <row r="39" spans="1:13" s="554" customFormat="1" ht="22.5" customHeight="1">
      <c r="A39" s="372">
        <v>5</v>
      </c>
      <c r="B39" s="373" t="s">
        <v>341</v>
      </c>
      <c r="C39" s="574" t="s">
        <v>347</v>
      </c>
      <c r="D39" s="651">
        <f>D22*5*D38/100</f>
        <v>1685.7</v>
      </c>
      <c r="E39" s="651">
        <f>E22*5*E38/100</f>
        <v>3007.8277139999996</v>
      </c>
      <c r="F39" s="595">
        <f>F38*F22/100</f>
        <v>661.08504</v>
      </c>
      <c r="G39" s="595">
        <f>G38*G22/100</f>
        <v>777.6180584100001</v>
      </c>
      <c r="H39" s="595">
        <f>H38*H22/100</f>
        <v>897.1843500000001</v>
      </c>
      <c r="I39" s="595">
        <f>I38*I22/100</f>
        <v>836.8119033749999</v>
      </c>
      <c r="J39" s="595">
        <f>J38*J22/100</f>
        <v>981.854808</v>
      </c>
      <c r="K39" s="651">
        <f>SUM(F39:J39)</f>
        <v>4154.554159785001</v>
      </c>
      <c r="L39" s="372" t="s">
        <v>36</v>
      </c>
      <c r="M39" s="371"/>
    </row>
    <row r="40" spans="1:13" s="554" customFormat="1" ht="22.5" customHeight="1" hidden="1">
      <c r="A40" s="372">
        <v>6</v>
      </c>
      <c r="B40" s="376" t="s">
        <v>481</v>
      </c>
      <c r="C40" s="575" t="s">
        <v>5</v>
      </c>
      <c r="D40" s="642"/>
      <c r="E40" s="642"/>
      <c r="F40" s="642"/>
      <c r="G40" s="642"/>
      <c r="H40" s="642"/>
      <c r="I40" s="642"/>
      <c r="J40" s="642"/>
      <c r="K40" s="642"/>
      <c r="L40" s="372"/>
      <c r="M40" s="371"/>
    </row>
    <row r="41" spans="1:13" s="557" customFormat="1" ht="37.5" customHeight="1" hidden="1">
      <c r="A41" s="372">
        <v>7</v>
      </c>
      <c r="B41" s="376" t="s">
        <v>482</v>
      </c>
      <c r="C41" s="577" t="s">
        <v>5</v>
      </c>
      <c r="D41" s="642"/>
      <c r="E41" s="642"/>
      <c r="F41" s="584"/>
      <c r="G41" s="584"/>
      <c r="H41" s="584"/>
      <c r="I41" s="584"/>
      <c r="J41" s="584"/>
      <c r="K41" s="584"/>
      <c r="L41" s="555"/>
      <c r="M41" s="556"/>
    </row>
    <row r="42" spans="1:13" s="554" customFormat="1" ht="31.5" customHeight="1" hidden="1">
      <c r="A42" s="372">
        <v>5</v>
      </c>
      <c r="B42" s="373" t="s">
        <v>318</v>
      </c>
      <c r="C42" s="575" t="s">
        <v>303</v>
      </c>
      <c r="D42" s="654"/>
      <c r="E42" s="654"/>
      <c r="F42" s="803"/>
      <c r="G42" s="803"/>
      <c r="H42" s="803"/>
      <c r="I42" s="803"/>
      <c r="J42" s="803"/>
      <c r="K42" s="803"/>
      <c r="L42" s="372"/>
      <c r="M42" s="371"/>
    </row>
    <row r="43" spans="1:13" s="554" customFormat="1" ht="22.5" customHeight="1" hidden="1">
      <c r="A43" s="372">
        <v>6</v>
      </c>
      <c r="B43" s="373" t="s">
        <v>292</v>
      </c>
      <c r="C43" s="575"/>
      <c r="D43" s="584"/>
      <c r="E43" s="584"/>
      <c r="F43" s="584"/>
      <c r="G43" s="584"/>
      <c r="H43" s="584"/>
      <c r="I43" s="584"/>
      <c r="J43" s="584"/>
      <c r="K43" s="584"/>
      <c r="L43" s="372"/>
      <c r="M43" s="371"/>
    </row>
    <row r="44" spans="1:13" s="487" customFormat="1" ht="22.5" customHeight="1" hidden="1">
      <c r="A44" s="374"/>
      <c r="B44" s="376" t="s">
        <v>293</v>
      </c>
      <c r="C44" s="581" t="s">
        <v>468</v>
      </c>
      <c r="D44" s="642"/>
      <c r="E44" s="642"/>
      <c r="F44" s="584"/>
      <c r="G44" s="584"/>
      <c r="H44" s="584"/>
      <c r="I44" s="584"/>
      <c r="J44" s="584"/>
      <c r="K44" s="584"/>
      <c r="L44" s="374"/>
      <c r="M44" s="377"/>
    </row>
    <row r="45" spans="1:13" s="560" customFormat="1" ht="22.5" customHeight="1" hidden="1">
      <c r="A45" s="374"/>
      <c r="B45" s="375" t="s">
        <v>294</v>
      </c>
      <c r="C45" s="575" t="s">
        <v>303</v>
      </c>
      <c r="D45" s="642"/>
      <c r="E45" s="642"/>
      <c r="F45" s="584"/>
      <c r="G45" s="584"/>
      <c r="H45" s="584"/>
      <c r="I45" s="584"/>
      <c r="J45" s="584"/>
      <c r="K45" s="584"/>
      <c r="L45" s="558"/>
      <c r="M45" s="559"/>
    </row>
    <row r="46" spans="1:13" s="487" customFormat="1" ht="22.5" customHeight="1" hidden="1">
      <c r="A46" s="374"/>
      <c r="B46" s="378" t="s">
        <v>314</v>
      </c>
      <c r="C46" s="575" t="s">
        <v>305</v>
      </c>
      <c r="D46" s="642"/>
      <c r="E46" s="642"/>
      <c r="F46" s="584"/>
      <c r="G46" s="584"/>
      <c r="H46" s="584"/>
      <c r="I46" s="584"/>
      <c r="J46" s="584"/>
      <c r="K46" s="584"/>
      <c r="L46" s="374"/>
      <c r="M46" s="377"/>
    </row>
    <row r="47" spans="1:13" s="487" customFormat="1" ht="22.5" customHeight="1" hidden="1">
      <c r="A47" s="374"/>
      <c r="B47" s="484" t="s">
        <v>295</v>
      </c>
      <c r="C47" s="581" t="s">
        <v>468</v>
      </c>
      <c r="D47" s="642"/>
      <c r="E47" s="642"/>
      <c r="F47" s="584"/>
      <c r="G47" s="584"/>
      <c r="H47" s="584"/>
      <c r="I47" s="584"/>
      <c r="J47" s="584"/>
      <c r="K47" s="584"/>
      <c r="L47" s="374"/>
      <c r="M47" s="377"/>
    </row>
    <row r="48" spans="1:13" s="487" customFormat="1" ht="22.5" customHeight="1" hidden="1">
      <c r="A48" s="374"/>
      <c r="B48" s="376" t="s">
        <v>634</v>
      </c>
      <c r="C48" s="581" t="s">
        <v>468</v>
      </c>
      <c r="D48" s="642"/>
      <c r="E48" s="642"/>
      <c r="F48" s="584"/>
      <c r="G48" s="584"/>
      <c r="H48" s="584"/>
      <c r="I48" s="584"/>
      <c r="J48" s="584"/>
      <c r="K48" s="642"/>
      <c r="L48" s="377"/>
      <c r="M48" s="377"/>
    </row>
    <row r="49" spans="1:13" s="557" customFormat="1" ht="37.5" customHeight="1" hidden="1">
      <c r="A49" s="372"/>
      <c r="B49" s="376" t="s">
        <v>635</v>
      </c>
      <c r="C49" s="577" t="s">
        <v>5</v>
      </c>
      <c r="D49" s="642"/>
      <c r="E49" s="642"/>
      <c r="F49" s="584"/>
      <c r="G49" s="584"/>
      <c r="H49" s="584"/>
      <c r="I49" s="584"/>
      <c r="J49" s="584"/>
      <c r="K49" s="584"/>
      <c r="L49" s="555"/>
      <c r="M49" s="556"/>
    </row>
    <row r="50" spans="1:13" s="487" customFormat="1" ht="22.5" customHeight="1" hidden="1">
      <c r="A50" s="374"/>
      <c r="B50" s="378" t="s">
        <v>300</v>
      </c>
      <c r="C50" s="581" t="s">
        <v>468</v>
      </c>
      <c r="D50" s="642"/>
      <c r="E50" s="642"/>
      <c r="F50" s="584"/>
      <c r="G50" s="584"/>
      <c r="H50" s="584"/>
      <c r="I50" s="584"/>
      <c r="J50" s="584"/>
      <c r="K50" s="642"/>
      <c r="L50" s="374"/>
      <c r="M50" s="377"/>
    </row>
    <row r="51" spans="1:13" s="487" customFormat="1" ht="22.5" customHeight="1">
      <c r="A51" s="622">
        <v>7</v>
      </c>
      <c r="B51" s="376" t="s">
        <v>526</v>
      </c>
      <c r="C51" s="581"/>
      <c r="D51" s="917">
        <f>2.383283*1000</f>
        <v>2383.283</v>
      </c>
      <c r="E51" s="917">
        <f>3.973*1000</f>
        <v>3973</v>
      </c>
      <c r="F51" s="918">
        <v>575.95</v>
      </c>
      <c r="G51" s="918">
        <v>708.18</v>
      </c>
      <c r="H51" s="918">
        <v>770.9</v>
      </c>
      <c r="I51" s="918">
        <v>841.13</v>
      </c>
      <c r="J51" s="918">
        <v>1024.84</v>
      </c>
      <c r="K51" s="919">
        <f>SUM(F51:J51)</f>
        <v>3921</v>
      </c>
      <c r="L51" s="920"/>
      <c r="M51" s="377"/>
    </row>
    <row r="52" spans="1:13" s="557" customFormat="1" ht="37.5" customHeight="1">
      <c r="A52" s="372"/>
      <c r="B52" s="376" t="s">
        <v>527</v>
      </c>
      <c r="C52" s="577" t="s">
        <v>347</v>
      </c>
      <c r="D52" s="917">
        <f>0.087*1000</f>
        <v>87</v>
      </c>
      <c r="E52" s="917">
        <f>0.186*1000</f>
        <v>186</v>
      </c>
      <c r="F52" s="918">
        <v>34.77</v>
      </c>
      <c r="G52" s="918">
        <v>51.03</v>
      </c>
      <c r="H52" s="918">
        <v>61.51</v>
      </c>
      <c r="I52" s="918">
        <v>42.64</v>
      </c>
      <c r="J52" s="918">
        <v>57.95</v>
      </c>
      <c r="K52" s="919">
        <f>SUM(F52:J52)</f>
        <v>247.89999999999998</v>
      </c>
      <c r="L52" s="920"/>
      <c r="M52" s="556"/>
    </row>
    <row r="53" spans="1:13" s="487" customFormat="1" ht="22.5" customHeight="1">
      <c r="A53" s="622"/>
      <c r="B53" s="378" t="s">
        <v>528</v>
      </c>
      <c r="C53" s="657" t="s">
        <v>347</v>
      </c>
      <c r="D53" s="917">
        <f>0.087*1000</f>
        <v>87</v>
      </c>
      <c r="E53" s="917">
        <v>186</v>
      </c>
      <c r="F53" s="918">
        <v>34.77</v>
      </c>
      <c r="G53" s="918">
        <v>51.03</v>
      </c>
      <c r="H53" s="918">
        <v>61.51</v>
      </c>
      <c r="I53" s="918">
        <v>42.64</v>
      </c>
      <c r="J53" s="918">
        <v>57.95</v>
      </c>
      <c r="K53" s="919">
        <f>SUM(F53:J53)</f>
        <v>247.89999999999998</v>
      </c>
      <c r="L53" s="920"/>
      <c r="M53" s="377"/>
    </row>
    <row r="54" spans="1:13" s="487" customFormat="1" ht="22.5" customHeight="1">
      <c r="A54" s="526"/>
      <c r="B54" s="375" t="s">
        <v>214</v>
      </c>
      <c r="C54" s="657"/>
      <c r="D54" s="917"/>
      <c r="E54" s="917"/>
      <c r="F54" s="918"/>
      <c r="G54" s="918"/>
      <c r="H54" s="918"/>
      <c r="I54" s="918"/>
      <c r="J54" s="918"/>
      <c r="K54" s="919"/>
      <c r="L54" s="920"/>
      <c r="M54" s="377"/>
    </row>
    <row r="55" spans="1:13" s="487" customFormat="1" ht="22.5" customHeight="1">
      <c r="A55" s="526"/>
      <c r="B55" s="378" t="s">
        <v>529</v>
      </c>
      <c r="C55" s="657" t="s">
        <v>347</v>
      </c>
      <c r="D55" s="917"/>
      <c r="E55" s="917"/>
      <c r="F55" s="918">
        <v>5.32</v>
      </c>
      <c r="G55" s="918">
        <v>18.13</v>
      </c>
      <c r="H55" s="918">
        <v>24.6</v>
      </c>
      <c r="I55" s="918">
        <v>8.89</v>
      </c>
      <c r="J55" s="918">
        <v>24</v>
      </c>
      <c r="K55" s="919">
        <f>SUM(F55:J55)</f>
        <v>80.94</v>
      </c>
      <c r="L55" s="920"/>
      <c r="M55" s="377"/>
    </row>
    <row r="56" spans="1:13" s="487" customFormat="1" ht="22.5" customHeight="1">
      <c r="A56" s="622"/>
      <c r="B56" s="378" t="s">
        <v>530</v>
      </c>
      <c r="C56" s="657" t="s">
        <v>347</v>
      </c>
      <c r="D56" s="917"/>
      <c r="E56" s="917"/>
      <c r="F56" s="918"/>
      <c r="G56" s="918"/>
      <c r="H56" s="918"/>
      <c r="I56" s="918"/>
      <c r="J56" s="918"/>
      <c r="K56" s="919"/>
      <c r="L56" s="920"/>
      <c r="M56" s="377"/>
    </row>
    <row r="57" spans="1:13" s="557" customFormat="1" ht="37.5" customHeight="1">
      <c r="A57" s="372"/>
      <c r="B57" s="376" t="s">
        <v>531</v>
      </c>
      <c r="C57" s="577" t="s">
        <v>347</v>
      </c>
      <c r="D57" s="917">
        <v>74</v>
      </c>
      <c r="E57" s="917">
        <v>186</v>
      </c>
      <c r="F57" s="918">
        <v>30.34</v>
      </c>
      <c r="G57" s="918">
        <v>46.92</v>
      </c>
      <c r="H57" s="918">
        <v>58.15</v>
      </c>
      <c r="I57" s="918">
        <v>37.87</v>
      </c>
      <c r="J57" s="918">
        <v>55.59</v>
      </c>
      <c r="K57" s="919">
        <f>SUM(F57:J57)</f>
        <v>228.87</v>
      </c>
      <c r="L57" s="920"/>
      <c r="M57" s="556"/>
    </row>
    <row r="58" spans="1:13" s="487" customFormat="1" ht="22.5" customHeight="1">
      <c r="A58" s="526"/>
      <c r="B58" s="375" t="s">
        <v>214</v>
      </c>
      <c r="C58" s="657"/>
      <c r="D58" s="917"/>
      <c r="E58" s="917"/>
      <c r="F58" s="918"/>
      <c r="G58" s="918"/>
      <c r="H58" s="918"/>
      <c r="I58" s="918"/>
      <c r="J58" s="918"/>
      <c r="K58" s="919"/>
      <c r="L58" s="920"/>
      <c r="M58" s="377"/>
    </row>
    <row r="59" spans="1:13" s="487" customFormat="1" ht="37.5" customHeight="1">
      <c r="A59" s="622"/>
      <c r="B59" s="378" t="s">
        <v>532</v>
      </c>
      <c r="C59" s="657" t="s">
        <v>347</v>
      </c>
      <c r="D59" s="917">
        <v>74</v>
      </c>
      <c r="E59" s="917">
        <v>186</v>
      </c>
      <c r="F59" s="918">
        <v>30.34</v>
      </c>
      <c r="G59" s="918">
        <v>46.92</v>
      </c>
      <c r="H59" s="918">
        <v>58.15</v>
      </c>
      <c r="I59" s="918">
        <v>37.87</v>
      </c>
      <c r="J59" s="918">
        <v>55.59</v>
      </c>
      <c r="K59" s="919">
        <f>SUM(F59:J59)</f>
        <v>228.87</v>
      </c>
      <c r="L59" s="920"/>
      <c r="M59" s="377"/>
    </row>
    <row r="60" spans="1:13" s="557" customFormat="1" ht="37.5" customHeight="1">
      <c r="A60" s="372"/>
      <c r="B60" s="376" t="s">
        <v>533</v>
      </c>
      <c r="C60" s="577" t="s">
        <v>347</v>
      </c>
      <c r="D60" s="917"/>
      <c r="E60" s="917"/>
      <c r="F60" s="918"/>
      <c r="G60" s="918"/>
      <c r="H60" s="918"/>
      <c r="I60" s="918"/>
      <c r="J60" s="918"/>
      <c r="K60" s="921"/>
      <c r="L60" s="920"/>
      <c r="M60" s="556"/>
    </row>
    <row r="61" spans="1:13" s="487" customFormat="1" ht="22.5" customHeight="1">
      <c r="A61" s="622">
        <v>9</v>
      </c>
      <c r="B61" s="376" t="s">
        <v>534</v>
      </c>
      <c r="C61" s="657" t="s">
        <v>347</v>
      </c>
      <c r="D61" s="917">
        <f>2.351*1000</f>
        <v>2351</v>
      </c>
      <c r="E61" s="917">
        <f>3.973*1000</f>
        <v>3973</v>
      </c>
      <c r="F61" s="918">
        <v>575.51</v>
      </c>
      <c r="G61" s="918">
        <v>708.05</v>
      </c>
      <c r="H61" s="918">
        <v>770.48</v>
      </c>
      <c r="I61" s="918">
        <v>840.96</v>
      </c>
      <c r="J61" s="918">
        <v>1024.84</v>
      </c>
      <c r="K61" s="919">
        <f>SUM(F61:J61)</f>
        <v>3919.84</v>
      </c>
      <c r="L61" s="920"/>
      <c r="M61" s="377"/>
    </row>
    <row r="62" spans="1:13" s="487" customFormat="1" ht="22.5" customHeight="1">
      <c r="A62" s="526"/>
      <c r="B62" s="378" t="s">
        <v>535</v>
      </c>
      <c r="C62" s="657" t="s">
        <v>347</v>
      </c>
      <c r="D62" s="917">
        <f aca="true" t="shared" si="4" ref="D62:I62">D64+D65</f>
        <v>1983.87</v>
      </c>
      <c r="E62" s="917">
        <f t="shared" si="4"/>
        <v>3350.901</v>
      </c>
      <c r="F62" s="917">
        <f t="shared" si="4"/>
        <v>483.94</v>
      </c>
      <c r="G62" s="917">
        <f t="shared" si="4"/>
        <v>589.6999999999999</v>
      </c>
      <c r="H62" s="917">
        <f t="shared" si="4"/>
        <v>608.76</v>
      </c>
      <c r="I62" s="917">
        <f t="shared" si="4"/>
        <v>635.9200000000001</v>
      </c>
      <c r="J62" s="917">
        <v>823.837</v>
      </c>
      <c r="K62" s="919">
        <f>SUM(F62:J62)</f>
        <v>3142.1569999999997</v>
      </c>
      <c r="L62" s="920"/>
      <c r="M62" s="377"/>
    </row>
    <row r="63" spans="1:13" s="487" customFormat="1" ht="22.5" customHeight="1">
      <c r="A63" s="526"/>
      <c r="B63" s="375" t="s">
        <v>214</v>
      </c>
      <c r="C63" s="657"/>
      <c r="D63" s="917"/>
      <c r="E63" s="917"/>
      <c r="F63" s="918"/>
      <c r="G63" s="918"/>
      <c r="H63" s="918"/>
      <c r="I63" s="918"/>
      <c r="J63" s="918"/>
      <c r="K63" s="919"/>
      <c r="L63" s="920"/>
      <c r="M63" s="377"/>
    </row>
    <row r="64" spans="1:13" s="487" customFormat="1" ht="22.5" customHeight="1">
      <c r="A64" s="622"/>
      <c r="B64" s="378" t="s">
        <v>536</v>
      </c>
      <c r="C64" s="657" t="s">
        <v>347</v>
      </c>
      <c r="D64" s="917">
        <v>0</v>
      </c>
      <c r="E64" s="917">
        <v>55</v>
      </c>
      <c r="F64" s="922">
        <v>2.24</v>
      </c>
      <c r="G64" s="922">
        <v>12.27</v>
      </c>
      <c r="H64" s="922">
        <v>14.05</v>
      </c>
      <c r="I64" s="922">
        <v>6.95</v>
      </c>
      <c r="J64" s="922">
        <v>25.9</v>
      </c>
      <c r="K64" s="919">
        <f>SUM(F64:J64)</f>
        <v>61.410000000000004</v>
      </c>
      <c r="L64" s="920"/>
      <c r="M64" s="377"/>
    </row>
    <row r="65" spans="1:13" s="557" customFormat="1" ht="37.5" customHeight="1">
      <c r="A65" s="372"/>
      <c r="B65" s="376" t="s">
        <v>537</v>
      </c>
      <c r="C65" s="577" t="s">
        <v>347</v>
      </c>
      <c r="D65" s="917">
        <v>1983.87</v>
      </c>
      <c r="E65" s="917">
        <v>3295.901</v>
      </c>
      <c r="F65" s="922">
        <v>481.7</v>
      </c>
      <c r="G65" s="922">
        <v>577.43</v>
      </c>
      <c r="H65" s="922">
        <v>594.71</v>
      </c>
      <c r="I65" s="922">
        <v>628.97</v>
      </c>
      <c r="J65" s="922">
        <v>797.93</v>
      </c>
      <c r="K65" s="919">
        <f>SUM(F65:J65)</f>
        <v>3080.74</v>
      </c>
      <c r="L65" s="920"/>
      <c r="M65" s="556"/>
    </row>
    <row r="66" spans="1:13" s="554" customFormat="1" ht="22.5" customHeight="1">
      <c r="A66" s="372">
        <v>7</v>
      </c>
      <c r="B66" s="373" t="s">
        <v>278</v>
      </c>
      <c r="C66" s="575" t="s">
        <v>303</v>
      </c>
      <c r="D66" s="651"/>
      <c r="E66" s="651"/>
      <c r="F66" s="908"/>
      <c r="G66" s="908"/>
      <c r="H66" s="908"/>
      <c r="I66" s="908"/>
      <c r="J66" s="908"/>
      <c r="K66" s="595"/>
      <c r="L66" s="372"/>
      <c r="M66" s="371"/>
    </row>
    <row r="67" spans="1:13" s="554" customFormat="1" ht="22.5" customHeight="1">
      <c r="A67" s="372" t="s">
        <v>11</v>
      </c>
      <c r="B67" s="373" t="s">
        <v>297</v>
      </c>
      <c r="C67" s="575"/>
      <c r="D67" s="651"/>
      <c r="E67" s="651"/>
      <c r="F67" s="595"/>
      <c r="G67" s="595"/>
      <c r="H67" s="595"/>
      <c r="I67" s="595"/>
      <c r="J67" s="595"/>
      <c r="K67" s="595"/>
      <c r="L67" s="372"/>
      <c r="M67" s="371"/>
    </row>
    <row r="68" spans="1:13" s="487" customFormat="1" ht="22.5" customHeight="1">
      <c r="A68" s="374">
        <v>1</v>
      </c>
      <c r="B68" s="378" t="s">
        <v>301</v>
      </c>
      <c r="C68" s="576" t="s">
        <v>409</v>
      </c>
      <c r="D68" s="603">
        <v>81701</v>
      </c>
      <c r="E68" s="603">
        <v>86000</v>
      </c>
      <c r="F68" s="605">
        <v>82752</v>
      </c>
      <c r="G68" s="605">
        <v>83883</v>
      </c>
      <c r="H68" s="605">
        <v>85408</v>
      </c>
      <c r="I68" s="605">
        <v>88294</v>
      </c>
      <c r="J68" s="605">
        <v>89625</v>
      </c>
      <c r="K68" s="605">
        <v>89625</v>
      </c>
      <c r="L68" s="374" t="s">
        <v>42</v>
      </c>
      <c r="M68" s="377"/>
    </row>
    <row r="69" spans="1:13" s="487" customFormat="1" ht="22.5" customHeight="1">
      <c r="A69" s="374">
        <v>2</v>
      </c>
      <c r="B69" s="378" t="s">
        <v>322</v>
      </c>
      <c r="C69" s="576" t="s">
        <v>303</v>
      </c>
      <c r="D69" s="596">
        <v>1.33</v>
      </c>
      <c r="E69" s="596">
        <v>1.2</v>
      </c>
      <c r="F69" s="505">
        <v>1.29</v>
      </c>
      <c r="G69" s="505">
        <f>+(G68-F68)/F68*100</f>
        <v>1.3667343387470998</v>
      </c>
      <c r="H69" s="505">
        <f>+(H68-G68)/G68*100</f>
        <v>1.8180084164848658</v>
      </c>
      <c r="I69" s="505">
        <f>+(I68-H68)/H68*100</f>
        <v>3.37907455976021</v>
      </c>
      <c r="J69" s="505">
        <f>+(J68-I68)/I68*100</f>
        <v>1.5074637008177227</v>
      </c>
      <c r="K69" s="505">
        <f>+J69</f>
        <v>1.5074637008177227</v>
      </c>
      <c r="L69" s="374" t="s">
        <v>42</v>
      </c>
      <c r="M69" s="377"/>
    </row>
    <row r="70" spans="1:12" s="799" customFormat="1" ht="22.5" customHeight="1">
      <c r="A70" s="644">
        <v>3</v>
      </c>
      <c r="B70" s="658" t="s">
        <v>543</v>
      </c>
      <c r="C70" s="659"/>
      <c r="D70" s="596"/>
      <c r="E70" s="596"/>
      <c r="F70" s="505"/>
      <c r="G70" s="505"/>
      <c r="H70" s="505"/>
      <c r="I70" s="505"/>
      <c r="J70" s="505"/>
      <c r="K70" s="505"/>
      <c r="L70" s="644"/>
    </row>
    <row r="71" spans="1:13" s="557" customFormat="1" ht="37.5" customHeight="1">
      <c r="A71" s="372"/>
      <c r="B71" s="376" t="s">
        <v>544</v>
      </c>
      <c r="C71" s="577" t="s">
        <v>5</v>
      </c>
      <c r="D71" s="596">
        <v>48.14</v>
      </c>
      <c r="E71" s="596">
        <v>33.82</v>
      </c>
      <c r="F71" s="505">
        <v>52.3</v>
      </c>
      <c r="G71" s="505">
        <v>48.92</v>
      </c>
      <c r="H71" s="505">
        <v>43.88</v>
      </c>
      <c r="I71" s="505">
        <v>38.37</v>
      </c>
      <c r="J71" s="505">
        <v>33.37</v>
      </c>
      <c r="K71" s="505">
        <v>33.37</v>
      </c>
      <c r="L71" s="374" t="s">
        <v>36</v>
      </c>
      <c r="M71" s="556"/>
    </row>
    <row r="72" spans="1:13" s="557" customFormat="1" ht="37.5" customHeight="1">
      <c r="A72" s="372"/>
      <c r="B72" s="376" t="s">
        <v>545</v>
      </c>
      <c r="C72" s="577" t="s">
        <v>5</v>
      </c>
      <c r="D72" s="596"/>
      <c r="E72" s="596">
        <v>2.726972432068843</v>
      </c>
      <c r="F72" s="505">
        <v>4</v>
      </c>
      <c r="G72" s="505">
        <v>3.3799999999999955</v>
      </c>
      <c r="H72" s="505">
        <v>5.039999999999999</v>
      </c>
      <c r="I72" s="505">
        <v>5.510000000000005</v>
      </c>
      <c r="J72" s="505">
        <v>5</v>
      </c>
      <c r="K72" s="505">
        <f>+(J72+I72+H72+G72)/4</f>
        <v>4.7325</v>
      </c>
      <c r="L72" s="374" t="s">
        <v>36</v>
      </c>
      <c r="M72" s="556"/>
    </row>
    <row r="73" spans="1:12" s="799" customFormat="1" ht="22.5" customHeight="1">
      <c r="A73" s="644">
        <v>4</v>
      </c>
      <c r="B73" s="645" t="s">
        <v>307</v>
      </c>
      <c r="C73" s="646" t="s">
        <v>409</v>
      </c>
      <c r="D73" s="603">
        <v>4710</v>
      </c>
      <c r="E73" s="603">
        <v>5000</v>
      </c>
      <c r="F73" s="603">
        <v>1100</v>
      </c>
      <c r="G73" s="605">
        <v>1096</v>
      </c>
      <c r="H73" s="605">
        <v>1100</v>
      </c>
      <c r="I73" s="605">
        <v>1000</v>
      </c>
      <c r="J73" s="605">
        <v>1000</v>
      </c>
      <c r="K73" s="605">
        <v>5296</v>
      </c>
      <c r="L73" s="644" t="s">
        <v>36</v>
      </c>
    </row>
    <row r="74" spans="1:13" s="557" customFormat="1" ht="37.5" customHeight="1">
      <c r="A74" s="372">
        <v>5</v>
      </c>
      <c r="B74" s="376" t="s">
        <v>483</v>
      </c>
      <c r="C74" s="577" t="s">
        <v>5</v>
      </c>
      <c r="D74" s="596">
        <v>75.5</v>
      </c>
      <c r="E74" s="596">
        <v>70</v>
      </c>
      <c r="F74" s="505">
        <v>75.2</v>
      </c>
      <c r="G74" s="505">
        <v>74.5</v>
      </c>
      <c r="H74" s="505">
        <v>74.5</v>
      </c>
      <c r="I74" s="505">
        <v>73.6</v>
      </c>
      <c r="J74" s="505">
        <v>72</v>
      </c>
      <c r="K74" s="505">
        <v>71.6</v>
      </c>
      <c r="L74" s="374" t="s">
        <v>42</v>
      </c>
      <c r="M74" s="556"/>
    </row>
    <row r="75" spans="1:13" s="557" customFormat="1" ht="37.5" customHeight="1">
      <c r="A75" s="372">
        <v>6</v>
      </c>
      <c r="B75" s="376" t="s">
        <v>308</v>
      </c>
      <c r="C75" s="577" t="s">
        <v>303</v>
      </c>
      <c r="D75" s="596">
        <v>41.5</v>
      </c>
      <c r="E75" s="596">
        <v>55</v>
      </c>
      <c r="F75" s="505" t="s">
        <v>651</v>
      </c>
      <c r="G75" s="505" t="s">
        <v>652</v>
      </c>
      <c r="H75" s="505">
        <v>50.8</v>
      </c>
      <c r="I75" s="505">
        <v>52.6</v>
      </c>
      <c r="J75" s="505">
        <v>53.8</v>
      </c>
      <c r="K75" s="505">
        <v>53.8</v>
      </c>
      <c r="L75" s="374" t="s">
        <v>42</v>
      </c>
      <c r="M75" s="556"/>
    </row>
    <row r="76" spans="1:12" s="799" customFormat="1" ht="22.5" customHeight="1">
      <c r="A76" s="647" t="s">
        <v>284</v>
      </c>
      <c r="B76" s="645" t="s">
        <v>484</v>
      </c>
      <c r="C76" s="646" t="s">
        <v>303</v>
      </c>
      <c r="D76" s="596"/>
      <c r="E76" s="596"/>
      <c r="F76" s="596"/>
      <c r="G76" s="596"/>
      <c r="H76" s="596"/>
      <c r="I76" s="596"/>
      <c r="J76" s="596"/>
      <c r="K76" s="596"/>
      <c r="L76" s="648"/>
    </row>
    <row r="77" spans="1:12" s="799" customFormat="1" ht="22.5" customHeight="1">
      <c r="A77" s="644">
        <v>7</v>
      </c>
      <c r="B77" s="645" t="s">
        <v>309</v>
      </c>
      <c r="C77" s="646" t="s">
        <v>303</v>
      </c>
      <c r="D77" s="596">
        <v>3.5</v>
      </c>
      <c r="E77" s="596">
        <v>3</v>
      </c>
      <c r="F77" s="596">
        <v>3.5</v>
      </c>
      <c r="G77" s="596">
        <v>3.5</v>
      </c>
      <c r="H77" s="596">
        <v>3.2</v>
      </c>
      <c r="I77" s="596">
        <v>2.8</v>
      </c>
      <c r="J77" s="596">
        <v>2.5</v>
      </c>
      <c r="K77" s="596">
        <v>2.5</v>
      </c>
      <c r="L77" s="644" t="s">
        <v>36</v>
      </c>
    </row>
    <row r="78" spans="1:12" s="799" customFormat="1" ht="22.5" customHeight="1">
      <c r="A78" s="644"/>
      <c r="B78" s="645" t="s">
        <v>334</v>
      </c>
      <c r="C78" s="646"/>
      <c r="D78" s="642"/>
      <c r="E78" s="642"/>
      <c r="F78" s="642"/>
      <c r="G78" s="642"/>
      <c r="H78" s="642"/>
      <c r="I78" s="642"/>
      <c r="J78" s="642"/>
      <c r="K78" s="642"/>
      <c r="L78" s="648"/>
    </row>
    <row r="79" spans="1:13" s="487" customFormat="1" ht="22.5" customHeight="1">
      <c r="A79" s="649">
        <v>8</v>
      </c>
      <c r="B79" s="509" t="s">
        <v>302</v>
      </c>
      <c r="C79" s="650" t="s">
        <v>316</v>
      </c>
      <c r="D79" s="832">
        <v>67.3</v>
      </c>
      <c r="E79" s="832">
        <v>71</v>
      </c>
      <c r="F79" s="833">
        <v>67.5</v>
      </c>
      <c r="G79" s="833">
        <v>67.6</v>
      </c>
      <c r="H79" s="833">
        <v>67.9</v>
      </c>
      <c r="I79" s="833">
        <v>68.2</v>
      </c>
      <c r="J79" s="833">
        <v>68.5</v>
      </c>
      <c r="K79" s="833">
        <v>68.5</v>
      </c>
      <c r="L79" s="916" t="s">
        <v>42</v>
      </c>
      <c r="M79" s="561"/>
    </row>
    <row r="80" spans="1:12" s="513" customFormat="1" ht="22.5" customHeight="1">
      <c r="A80" s="379">
        <v>9</v>
      </c>
      <c r="B80" s="378" t="s">
        <v>485</v>
      </c>
      <c r="C80" s="578" t="s">
        <v>487</v>
      </c>
      <c r="D80" s="907">
        <v>4.8</v>
      </c>
      <c r="E80" s="907">
        <v>9</v>
      </c>
      <c r="F80" s="907">
        <v>6.7</v>
      </c>
      <c r="G80" s="907">
        <v>6.5</v>
      </c>
      <c r="H80" s="907">
        <v>6.7</v>
      </c>
      <c r="I80" s="907">
        <v>6.7</v>
      </c>
      <c r="J80" s="907">
        <v>7.7</v>
      </c>
      <c r="K80" s="907">
        <v>7.7</v>
      </c>
      <c r="L80" s="379" t="s">
        <v>42</v>
      </c>
    </row>
    <row r="81" spans="1:13" s="557" customFormat="1" ht="37.5" customHeight="1">
      <c r="A81" s="372">
        <v>10</v>
      </c>
      <c r="B81" s="376" t="s">
        <v>489</v>
      </c>
      <c r="C81" s="577" t="s">
        <v>488</v>
      </c>
      <c r="D81" s="643">
        <v>16.4</v>
      </c>
      <c r="E81" s="643">
        <v>17.2</v>
      </c>
      <c r="F81" s="630">
        <v>28</v>
      </c>
      <c r="G81" s="630">
        <v>28</v>
      </c>
      <c r="H81" s="630">
        <v>27.4</v>
      </c>
      <c r="I81" s="630">
        <v>27.4</v>
      </c>
      <c r="J81" s="630">
        <v>28.3</v>
      </c>
      <c r="K81" s="630">
        <v>28.3</v>
      </c>
      <c r="L81" s="374" t="s">
        <v>36</v>
      </c>
      <c r="M81" s="556"/>
    </row>
    <row r="82" spans="1:13" s="557" customFormat="1" ht="38.25" customHeight="1">
      <c r="A82" s="372"/>
      <c r="B82" s="376" t="s">
        <v>486</v>
      </c>
      <c r="C82" s="577" t="s">
        <v>5</v>
      </c>
      <c r="D82" s="642">
        <v>97</v>
      </c>
      <c r="E82" s="642" t="s">
        <v>435</v>
      </c>
      <c r="F82" s="584">
        <v>96.82</v>
      </c>
      <c r="G82" s="584">
        <v>97.01</v>
      </c>
      <c r="H82" s="584">
        <v>97.08</v>
      </c>
      <c r="I82" s="584">
        <v>97.2</v>
      </c>
      <c r="J82" s="584">
        <v>98</v>
      </c>
      <c r="K82" s="584">
        <v>98</v>
      </c>
      <c r="L82" s="374" t="s">
        <v>36</v>
      </c>
      <c r="M82" s="556"/>
    </row>
    <row r="83" spans="1:13" s="554" customFormat="1" ht="38.25" customHeight="1">
      <c r="A83" s="510" t="s">
        <v>15</v>
      </c>
      <c r="B83" s="514" t="s">
        <v>311</v>
      </c>
      <c r="C83" s="579"/>
      <c r="D83" s="655"/>
      <c r="E83" s="655"/>
      <c r="F83" s="656"/>
      <c r="G83" s="656"/>
      <c r="H83" s="656"/>
      <c r="I83" s="656"/>
      <c r="J83" s="656"/>
      <c r="K83" s="656"/>
      <c r="L83" s="510"/>
      <c r="M83" s="512"/>
    </row>
    <row r="84" spans="1:13" s="487" customFormat="1" ht="22.5" customHeight="1">
      <c r="A84" s="379"/>
      <c r="B84" s="378" t="s">
        <v>331</v>
      </c>
      <c r="C84" s="578" t="s">
        <v>5</v>
      </c>
      <c r="D84" s="800">
        <v>38.9</v>
      </c>
      <c r="E84" s="800">
        <v>48</v>
      </c>
      <c r="F84" s="800">
        <v>34</v>
      </c>
      <c r="G84" s="800">
        <v>34.9</v>
      </c>
      <c r="H84" s="800">
        <v>35.5</v>
      </c>
      <c r="I84" s="800">
        <v>37.3</v>
      </c>
      <c r="J84" s="800">
        <v>38</v>
      </c>
      <c r="K84" s="801">
        <f>SUM(F84:J84)/5</f>
        <v>35.94</v>
      </c>
      <c r="L84" s="374" t="s">
        <v>666</v>
      </c>
      <c r="M84" s="377"/>
    </row>
    <row r="85" spans="1:13" s="557" customFormat="1" ht="38.25" customHeight="1">
      <c r="A85" s="372"/>
      <c r="B85" s="376" t="s">
        <v>312</v>
      </c>
      <c r="C85" s="577" t="s">
        <v>5</v>
      </c>
      <c r="D85" s="801">
        <v>38.9</v>
      </c>
      <c r="E85" s="801">
        <v>91.16</v>
      </c>
      <c r="F85" s="802">
        <v>85</v>
      </c>
      <c r="G85" s="802">
        <v>89.5</v>
      </c>
      <c r="H85" s="802">
        <v>90.5</v>
      </c>
      <c r="I85" s="802">
        <v>90.8</v>
      </c>
      <c r="J85" s="802">
        <v>100</v>
      </c>
      <c r="K85" s="802">
        <f>SUM(F85:J85)/5</f>
        <v>91.16</v>
      </c>
      <c r="L85" s="374" t="s">
        <v>36</v>
      </c>
      <c r="M85" s="556"/>
    </row>
    <row r="86" spans="1:13" s="557" customFormat="1" ht="38.25" customHeight="1">
      <c r="A86" s="372"/>
      <c r="B86" s="376" t="s">
        <v>313</v>
      </c>
      <c r="C86" s="577" t="s">
        <v>5</v>
      </c>
      <c r="D86" s="801">
        <v>100</v>
      </c>
      <c r="E86" s="801">
        <v>100</v>
      </c>
      <c r="F86" s="802">
        <v>100</v>
      </c>
      <c r="G86" s="802">
        <v>100</v>
      </c>
      <c r="H86" s="802">
        <v>100</v>
      </c>
      <c r="I86" s="802">
        <v>100</v>
      </c>
      <c r="J86" s="802">
        <v>100</v>
      </c>
      <c r="K86" s="802">
        <f>SUM(F86:J86)/5</f>
        <v>100</v>
      </c>
      <c r="L86" s="374" t="s">
        <v>36</v>
      </c>
      <c r="M86" s="556"/>
    </row>
    <row r="87" spans="1:13" s="557" customFormat="1" ht="51" customHeight="1">
      <c r="A87" s="372"/>
      <c r="B87" s="376" t="s">
        <v>299</v>
      </c>
      <c r="C87" s="577" t="s">
        <v>5</v>
      </c>
      <c r="D87" s="801"/>
      <c r="E87" s="801"/>
      <c r="F87" s="802"/>
      <c r="G87" s="802"/>
      <c r="H87" s="802"/>
      <c r="I87" s="802"/>
      <c r="J87" s="802"/>
      <c r="K87" s="802"/>
      <c r="L87" s="374"/>
      <c r="M87" s="556"/>
    </row>
    <row r="88" spans="1:13" s="487" customFormat="1" ht="22.5" customHeight="1">
      <c r="A88" s="379"/>
      <c r="B88" s="378" t="s">
        <v>315</v>
      </c>
      <c r="C88" s="578" t="s">
        <v>5</v>
      </c>
      <c r="D88" s="800">
        <v>100</v>
      </c>
      <c r="E88" s="800">
        <v>100</v>
      </c>
      <c r="F88" s="800">
        <v>100</v>
      </c>
      <c r="G88" s="800">
        <v>100</v>
      </c>
      <c r="H88" s="800">
        <v>100</v>
      </c>
      <c r="I88" s="800">
        <v>100</v>
      </c>
      <c r="J88" s="800">
        <v>100</v>
      </c>
      <c r="K88" s="801">
        <v>100</v>
      </c>
      <c r="L88" s="374" t="s">
        <v>36</v>
      </c>
      <c r="M88" s="377"/>
    </row>
    <row r="89" spans="1:13" s="557" customFormat="1" ht="38.25" customHeight="1">
      <c r="A89" s="372"/>
      <c r="B89" s="376" t="s">
        <v>472</v>
      </c>
      <c r="C89" s="577" t="s">
        <v>5</v>
      </c>
      <c r="D89" s="801">
        <v>100</v>
      </c>
      <c r="E89" s="801">
        <v>100</v>
      </c>
      <c r="F89" s="802">
        <v>100</v>
      </c>
      <c r="G89" s="802">
        <v>100</v>
      </c>
      <c r="H89" s="802">
        <v>100</v>
      </c>
      <c r="I89" s="802">
        <v>100</v>
      </c>
      <c r="J89" s="802">
        <v>100</v>
      </c>
      <c r="K89" s="802">
        <v>100</v>
      </c>
      <c r="L89" s="374" t="s">
        <v>36</v>
      </c>
      <c r="M89" s="556"/>
    </row>
    <row r="90" spans="1:13" s="557" customFormat="1" ht="38.25" customHeight="1">
      <c r="A90" s="372"/>
      <c r="B90" s="376" t="s">
        <v>538</v>
      </c>
      <c r="C90" s="577" t="s">
        <v>5</v>
      </c>
      <c r="D90" s="801">
        <v>100</v>
      </c>
      <c r="E90" s="801">
        <v>100</v>
      </c>
      <c r="F90" s="802">
        <v>100</v>
      </c>
      <c r="G90" s="802">
        <v>100</v>
      </c>
      <c r="H90" s="802">
        <v>100</v>
      </c>
      <c r="I90" s="802">
        <v>100</v>
      </c>
      <c r="J90" s="802">
        <v>100</v>
      </c>
      <c r="K90" s="802">
        <v>100</v>
      </c>
      <c r="L90" s="374" t="s">
        <v>36</v>
      </c>
      <c r="M90" s="556"/>
    </row>
    <row r="91" spans="1:12" s="554" customFormat="1" ht="22.5" customHeight="1">
      <c r="A91" s="510" t="s">
        <v>18</v>
      </c>
      <c r="B91" s="511" t="s">
        <v>539</v>
      </c>
      <c r="C91" s="580"/>
      <c r="D91" s="655"/>
      <c r="E91" s="655"/>
      <c r="F91" s="656"/>
      <c r="G91" s="656"/>
      <c r="H91" s="656"/>
      <c r="I91" s="656"/>
      <c r="J91" s="656"/>
      <c r="K91" s="656"/>
      <c r="L91" s="510"/>
    </row>
    <row r="92" spans="1:12" s="487" customFormat="1" ht="22.5" customHeight="1">
      <c r="A92" s="526"/>
      <c r="B92" s="376" t="s">
        <v>540</v>
      </c>
      <c r="C92" s="657" t="s">
        <v>362</v>
      </c>
      <c r="D92" s="642"/>
      <c r="E92" s="642"/>
      <c r="F92" s="584"/>
      <c r="G92" s="584"/>
      <c r="H92" s="584"/>
      <c r="I92" s="584"/>
      <c r="J92" s="584"/>
      <c r="K92" s="584"/>
      <c r="L92" s="374"/>
    </row>
    <row r="93" spans="1:12" s="487" customFormat="1" ht="22.5" customHeight="1">
      <c r="A93" s="622"/>
      <c r="B93" s="376" t="s">
        <v>541</v>
      </c>
      <c r="C93" s="657" t="s">
        <v>5</v>
      </c>
      <c r="D93" s="642"/>
      <c r="E93" s="642"/>
      <c r="F93" s="584"/>
      <c r="G93" s="584"/>
      <c r="H93" s="584"/>
      <c r="I93" s="584"/>
      <c r="J93" s="584"/>
      <c r="K93" s="584"/>
      <c r="L93" s="374"/>
    </row>
    <row r="94" spans="1:13" s="557" customFormat="1" ht="38.25" customHeight="1">
      <c r="A94" s="372"/>
      <c r="B94" s="376" t="s">
        <v>542</v>
      </c>
      <c r="C94" s="577" t="s">
        <v>5</v>
      </c>
      <c r="D94" s="653"/>
      <c r="E94" s="653"/>
      <c r="F94" s="587"/>
      <c r="G94" s="587"/>
      <c r="H94" s="587"/>
      <c r="I94" s="587"/>
      <c r="J94" s="587"/>
      <c r="K94" s="587"/>
      <c r="L94" s="555"/>
      <c r="M94" s="556"/>
    </row>
    <row r="95" spans="1:12" s="554" customFormat="1" ht="22.5" customHeight="1">
      <c r="A95" s="624" t="s">
        <v>492</v>
      </c>
      <c r="B95" s="660" t="s">
        <v>551</v>
      </c>
      <c r="C95" s="502" t="s">
        <v>5</v>
      </c>
      <c r="D95" s="651"/>
      <c r="E95" s="651"/>
      <c r="F95" s="595"/>
      <c r="G95" s="595"/>
      <c r="H95" s="595"/>
      <c r="I95" s="595"/>
      <c r="J95" s="595"/>
      <c r="K95" s="595"/>
      <c r="L95" s="372"/>
    </row>
    <row r="96" spans="1:11" ht="16.5">
      <c r="A96" s="483"/>
      <c r="B96" s="486"/>
      <c r="C96" s="527"/>
      <c r="D96" s="527"/>
      <c r="E96" s="527"/>
      <c r="F96" s="487"/>
      <c r="G96" s="487"/>
      <c r="H96" s="487"/>
      <c r="I96" s="487"/>
      <c r="J96" s="487"/>
      <c r="K96" s="483"/>
    </row>
    <row r="97" spans="1:11" ht="16.5">
      <c r="A97" s="483"/>
      <c r="B97" s="486"/>
      <c r="C97" s="527"/>
      <c r="D97" s="527"/>
      <c r="E97" s="527"/>
      <c r="F97" s="487"/>
      <c r="G97" s="487"/>
      <c r="H97" s="487"/>
      <c r="I97" s="487"/>
      <c r="J97" s="487"/>
      <c r="K97" s="483"/>
    </row>
    <row r="98" spans="1:11" ht="16.5">
      <c r="A98" s="483"/>
      <c r="B98" s="486"/>
      <c r="C98" s="527"/>
      <c r="D98" s="527"/>
      <c r="E98" s="527"/>
      <c r="F98" s="487"/>
      <c r="G98" s="487"/>
      <c r="H98" s="487"/>
      <c r="I98" s="487"/>
      <c r="J98" s="487"/>
      <c r="K98" s="483"/>
    </row>
    <row r="99" spans="1:11" ht="16.5">
      <c r="A99" s="483"/>
      <c r="B99" s="486"/>
      <c r="C99" s="527"/>
      <c r="D99" s="527"/>
      <c r="E99" s="527"/>
      <c r="F99" s="487"/>
      <c r="G99" s="487"/>
      <c r="H99" s="487"/>
      <c r="I99" s="487"/>
      <c r="J99" s="487"/>
      <c r="K99" s="483"/>
    </row>
    <row r="100" spans="1:11" ht="16.5">
      <c r="A100" s="483"/>
      <c r="B100" s="486"/>
      <c r="C100" s="527"/>
      <c r="D100" s="527"/>
      <c r="E100" s="527"/>
      <c r="F100" s="487"/>
      <c r="G100" s="487"/>
      <c r="H100" s="487"/>
      <c r="I100" s="487"/>
      <c r="J100" s="487"/>
      <c r="K100" s="483"/>
    </row>
    <row r="101" spans="1:11" ht="16.5">
      <c r="A101" s="483"/>
      <c r="B101" s="486"/>
      <c r="C101" s="527"/>
      <c r="D101" s="527"/>
      <c r="E101" s="527"/>
      <c r="F101" s="487"/>
      <c r="G101" s="487"/>
      <c r="H101" s="487"/>
      <c r="I101" s="487"/>
      <c r="J101" s="487"/>
      <c r="K101" s="483"/>
    </row>
    <row r="102" spans="1:11" ht="16.5">
      <c r="A102" s="483"/>
      <c r="B102" s="486"/>
      <c r="C102" s="527"/>
      <c r="D102" s="527"/>
      <c r="E102" s="527"/>
      <c r="F102" s="487"/>
      <c r="G102" s="487"/>
      <c r="H102" s="487"/>
      <c r="I102" s="487"/>
      <c r="J102" s="487"/>
      <c r="K102" s="483"/>
    </row>
    <row r="103" spans="1:11" ht="16.5">
      <c r="A103" s="483"/>
      <c r="B103" s="486"/>
      <c r="C103" s="527"/>
      <c r="D103" s="527"/>
      <c r="E103" s="527"/>
      <c r="F103" s="487"/>
      <c r="G103" s="487"/>
      <c r="H103" s="487"/>
      <c r="I103" s="487"/>
      <c r="J103" s="487"/>
      <c r="K103" s="483"/>
    </row>
    <row r="104" spans="1:11" ht="16.5">
      <c r="A104" s="483"/>
      <c r="B104" s="486"/>
      <c r="C104" s="527"/>
      <c r="D104" s="527"/>
      <c r="E104" s="527"/>
      <c r="F104" s="487"/>
      <c r="G104" s="487"/>
      <c r="H104" s="487"/>
      <c r="I104" s="487"/>
      <c r="J104" s="487"/>
      <c r="K104" s="483"/>
    </row>
    <row r="105" spans="1:11" ht="16.5">
      <c r="A105" s="483"/>
      <c r="B105" s="486"/>
      <c r="C105" s="527"/>
      <c r="D105" s="527"/>
      <c r="E105" s="527"/>
      <c r="F105" s="487"/>
      <c r="G105" s="487"/>
      <c r="H105" s="487"/>
      <c r="I105" s="487"/>
      <c r="J105" s="487"/>
      <c r="K105" s="483"/>
    </row>
    <row r="106" spans="1:11" ht="16.5">
      <c r="A106" s="483"/>
      <c r="B106" s="486"/>
      <c r="C106" s="527"/>
      <c r="D106" s="527"/>
      <c r="E106" s="527"/>
      <c r="F106" s="487"/>
      <c r="G106" s="487"/>
      <c r="H106" s="487"/>
      <c r="I106" s="487"/>
      <c r="J106" s="487"/>
      <c r="K106" s="483"/>
    </row>
    <row r="107" spans="1:11" ht="16.5">
      <c r="A107" s="483"/>
      <c r="B107" s="486"/>
      <c r="C107" s="527"/>
      <c r="D107" s="527"/>
      <c r="E107" s="527"/>
      <c r="F107" s="487"/>
      <c r="G107" s="487"/>
      <c r="H107" s="487"/>
      <c r="I107" s="487"/>
      <c r="J107" s="487"/>
      <c r="K107" s="483"/>
    </row>
    <row r="108" spans="1:11" ht="16.5">
      <c r="A108" s="483"/>
      <c r="B108" s="486"/>
      <c r="C108" s="527"/>
      <c r="D108" s="527"/>
      <c r="E108" s="527"/>
      <c r="F108" s="487"/>
      <c r="G108" s="487"/>
      <c r="H108" s="487"/>
      <c r="I108" s="487"/>
      <c r="J108" s="487"/>
      <c r="K108" s="483"/>
    </row>
    <row r="109" spans="1:11" ht="16.5">
      <c r="A109" s="483"/>
      <c r="B109" s="486"/>
      <c r="C109" s="527"/>
      <c r="D109" s="527"/>
      <c r="E109" s="527"/>
      <c r="F109" s="487"/>
      <c r="G109" s="487"/>
      <c r="H109" s="487"/>
      <c r="I109" s="487"/>
      <c r="J109" s="487"/>
      <c r="K109" s="483"/>
    </row>
    <row r="110" spans="1:11" ht="16.5">
      <c r="A110" s="483"/>
      <c r="B110" s="486"/>
      <c r="C110" s="527"/>
      <c r="D110" s="527"/>
      <c r="E110" s="527"/>
      <c r="F110" s="487"/>
      <c r="G110" s="487"/>
      <c r="H110" s="487"/>
      <c r="I110" s="487"/>
      <c r="J110" s="487"/>
      <c r="K110" s="483"/>
    </row>
    <row r="111" spans="1:11" ht="16.5">
      <c r="A111" s="483"/>
      <c r="B111" s="486"/>
      <c r="C111" s="527"/>
      <c r="D111" s="527"/>
      <c r="E111" s="527"/>
      <c r="F111" s="487"/>
      <c r="G111" s="487"/>
      <c r="H111" s="487"/>
      <c r="I111" s="487"/>
      <c r="J111" s="487"/>
      <c r="K111" s="483"/>
    </row>
    <row r="112" spans="1:11" ht="16.5">
      <c r="A112" s="483"/>
      <c r="B112" s="486"/>
      <c r="C112" s="527"/>
      <c r="D112" s="527"/>
      <c r="E112" s="527"/>
      <c r="F112" s="487"/>
      <c r="G112" s="487"/>
      <c r="H112" s="487"/>
      <c r="I112" s="487"/>
      <c r="J112" s="487"/>
      <c r="K112" s="483"/>
    </row>
    <row r="113" spans="1:11" ht="16.5">
      <c r="A113" s="483"/>
      <c r="B113" s="486"/>
      <c r="C113" s="527"/>
      <c r="D113" s="527"/>
      <c r="E113" s="527"/>
      <c r="F113" s="487"/>
      <c r="G113" s="487"/>
      <c r="H113" s="487"/>
      <c r="I113" s="487"/>
      <c r="J113" s="487"/>
      <c r="K113" s="483"/>
    </row>
    <row r="114" spans="1:11" ht="16.5">
      <c r="A114" s="483"/>
      <c r="B114" s="486"/>
      <c r="C114" s="527"/>
      <c r="D114" s="527"/>
      <c r="E114" s="527"/>
      <c r="F114" s="487"/>
      <c r="G114" s="487"/>
      <c r="H114" s="487"/>
      <c r="I114" s="487"/>
      <c r="J114" s="487"/>
      <c r="K114" s="483"/>
    </row>
    <row r="115" spans="1:11" ht="16.5">
      <c r="A115" s="483"/>
      <c r="B115" s="486"/>
      <c r="C115" s="527"/>
      <c r="D115" s="527"/>
      <c r="E115" s="527"/>
      <c r="F115" s="487"/>
      <c r="G115" s="487"/>
      <c r="H115" s="487"/>
      <c r="I115" s="487"/>
      <c r="J115" s="487"/>
      <c r="K115" s="483"/>
    </row>
    <row r="116" spans="1:11" ht="16.5">
      <c r="A116" s="483"/>
      <c r="B116" s="486"/>
      <c r="C116" s="527"/>
      <c r="D116" s="527"/>
      <c r="E116" s="527"/>
      <c r="F116" s="487"/>
      <c r="G116" s="487"/>
      <c r="H116" s="487"/>
      <c r="I116" s="487"/>
      <c r="J116" s="487"/>
      <c r="K116" s="483"/>
    </row>
    <row r="117" spans="1:11" ht="16.5">
      <c r="A117" s="483"/>
      <c r="B117" s="486"/>
      <c r="C117" s="527"/>
      <c r="D117" s="527"/>
      <c r="E117" s="527"/>
      <c r="F117" s="487"/>
      <c r="G117" s="487"/>
      <c r="H117" s="487"/>
      <c r="I117" s="487"/>
      <c r="J117" s="487"/>
      <c r="K117" s="483"/>
    </row>
    <row r="118" spans="1:11" ht="16.5">
      <c r="A118" s="483"/>
      <c r="B118" s="486"/>
      <c r="C118" s="527"/>
      <c r="D118" s="527"/>
      <c r="E118" s="527"/>
      <c r="F118" s="487"/>
      <c r="G118" s="487"/>
      <c r="H118" s="487"/>
      <c r="I118" s="487"/>
      <c r="J118" s="487"/>
      <c r="K118" s="483"/>
    </row>
    <row r="119" spans="1:11" ht="16.5">
      <c r="A119" s="483"/>
      <c r="B119" s="486"/>
      <c r="C119" s="527"/>
      <c r="D119" s="527"/>
      <c r="E119" s="527"/>
      <c r="F119" s="487"/>
      <c r="G119" s="487"/>
      <c r="H119" s="487"/>
      <c r="I119" s="487"/>
      <c r="J119" s="487"/>
      <c r="K119" s="483"/>
    </row>
    <row r="120" spans="1:11" ht="16.5">
      <c r="A120" s="483"/>
      <c r="B120" s="486"/>
      <c r="C120" s="527"/>
      <c r="D120" s="527"/>
      <c r="E120" s="527"/>
      <c r="F120" s="487"/>
      <c r="G120" s="487"/>
      <c r="H120" s="487"/>
      <c r="I120" s="487"/>
      <c r="J120" s="487"/>
      <c r="K120" s="483"/>
    </row>
    <row r="121" spans="1:11" ht="16.5">
      <c r="A121" s="483"/>
      <c r="B121" s="486"/>
      <c r="C121" s="527"/>
      <c r="D121" s="527"/>
      <c r="E121" s="527"/>
      <c r="F121" s="487"/>
      <c r="G121" s="487"/>
      <c r="H121" s="487"/>
      <c r="I121" s="487"/>
      <c r="J121" s="487"/>
      <c r="K121" s="483"/>
    </row>
    <row r="122" spans="1:11" ht="16.5">
      <c r="A122" s="483"/>
      <c r="B122" s="486"/>
      <c r="C122" s="527"/>
      <c r="D122" s="527"/>
      <c r="E122" s="527"/>
      <c r="F122" s="487"/>
      <c r="G122" s="487"/>
      <c r="H122" s="487"/>
      <c r="I122" s="487"/>
      <c r="J122" s="487"/>
      <c r="K122" s="483"/>
    </row>
    <row r="123" spans="1:11" ht="16.5">
      <c r="A123" s="483"/>
      <c r="B123" s="486"/>
      <c r="C123" s="527"/>
      <c r="D123" s="527"/>
      <c r="E123" s="527"/>
      <c r="F123" s="487"/>
      <c r="G123" s="487"/>
      <c r="H123" s="487"/>
      <c r="I123" s="487"/>
      <c r="J123" s="487"/>
      <c r="K123" s="483"/>
    </row>
    <row r="124" spans="1:11" ht="16.5">
      <c r="A124" s="483"/>
      <c r="B124" s="486"/>
      <c r="C124" s="527"/>
      <c r="D124" s="527"/>
      <c r="E124" s="527"/>
      <c r="F124" s="487"/>
      <c r="G124" s="487"/>
      <c r="H124" s="487"/>
      <c r="I124" s="487"/>
      <c r="J124" s="487"/>
      <c r="K124" s="483"/>
    </row>
    <row r="125" spans="1:11" ht="16.5">
      <c r="A125" s="483"/>
      <c r="B125" s="486"/>
      <c r="C125" s="527"/>
      <c r="D125" s="527"/>
      <c r="E125" s="527"/>
      <c r="F125" s="487"/>
      <c r="G125" s="487"/>
      <c r="H125" s="487"/>
      <c r="I125" s="487"/>
      <c r="J125" s="487"/>
      <c r="K125" s="483"/>
    </row>
    <row r="126" spans="1:11" ht="16.5">
      <c r="A126" s="483"/>
      <c r="B126" s="486"/>
      <c r="C126" s="527"/>
      <c r="D126" s="527"/>
      <c r="E126" s="527"/>
      <c r="F126" s="487"/>
      <c r="G126" s="487"/>
      <c r="H126" s="487"/>
      <c r="I126" s="487"/>
      <c r="J126" s="487"/>
      <c r="K126" s="483"/>
    </row>
    <row r="127" spans="1:11" ht="16.5">
      <c r="A127" s="483"/>
      <c r="B127" s="486"/>
      <c r="C127" s="527"/>
      <c r="D127" s="527"/>
      <c r="E127" s="527"/>
      <c r="F127" s="487"/>
      <c r="G127" s="487"/>
      <c r="H127" s="487"/>
      <c r="I127" s="487"/>
      <c r="J127" s="487"/>
      <c r="K127" s="483"/>
    </row>
    <row r="128" spans="1:11" ht="16.5">
      <c r="A128" s="483"/>
      <c r="B128" s="486"/>
      <c r="C128" s="527"/>
      <c r="D128" s="527"/>
      <c r="E128" s="527"/>
      <c r="F128" s="487"/>
      <c r="G128" s="487"/>
      <c r="H128" s="487"/>
      <c r="I128" s="487"/>
      <c r="J128" s="487"/>
      <c r="K128" s="483"/>
    </row>
    <row r="129" spans="1:11" ht="16.5">
      <c r="A129" s="483"/>
      <c r="B129" s="486"/>
      <c r="C129" s="527"/>
      <c r="D129" s="527"/>
      <c r="E129" s="527"/>
      <c r="F129" s="487"/>
      <c r="G129" s="487"/>
      <c r="H129" s="487"/>
      <c r="I129" s="487"/>
      <c r="J129" s="487"/>
      <c r="K129" s="483"/>
    </row>
    <row r="130" spans="1:11" ht="16.5">
      <c r="A130" s="483"/>
      <c r="B130" s="486"/>
      <c r="C130" s="527"/>
      <c r="D130" s="527"/>
      <c r="E130" s="527"/>
      <c r="F130" s="487"/>
      <c r="G130" s="487"/>
      <c r="H130" s="487"/>
      <c r="I130" s="487"/>
      <c r="J130" s="487"/>
      <c r="K130" s="483"/>
    </row>
    <row r="131" spans="1:11" ht="16.5">
      <c r="A131" s="483"/>
      <c r="B131" s="486"/>
      <c r="C131" s="527"/>
      <c r="D131" s="527"/>
      <c r="E131" s="527"/>
      <c r="F131" s="487"/>
      <c r="G131" s="487"/>
      <c r="H131" s="487"/>
      <c r="I131" s="487"/>
      <c r="J131" s="487"/>
      <c r="K131" s="483"/>
    </row>
    <row r="132" spans="1:11" ht="16.5">
      <c r="A132" s="483"/>
      <c r="B132" s="486"/>
      <c r="C132" s="527"/>
      <c r="D132" s="527"/>
      <c r="E132" s="527"/>
      <c r="F132" s="487"/>
      <c r="G132" s="487"/>
      <c r="H132" s="487"/>
      <c r="I132" s="487"/>
      <c r="J132" s="487"/>
      <c r="K132" s="483"/>
    </row>
    <row r="133" spans="1:11" ht="16.5">
      <c r="A133" s="483"/>
      <c r="B133" s="486"/>
      <c r="C133" s="527"/>
      <c r="D133" s="527"/>
      <c r="E133" s="527"/>
      <c r="F133" s="487"/>
      <c r="G133" s="487"/>
      <c r="H133" s="487"/>
      <c r="I133" s="487"/>
      <c r="J133" s="487"/>
      <c r="K133" s="483"/>
    </row>
    <row r="134" spans="1:11" ht="16.5">
      <c r="A134" s="483"/>
      <c r="B134" s="486"/>
      <c r="C134" s="527"/>
      <c r="D134" s="527"/>
      <c r="E134" s="527"/>
      <c r="F134" s="487"/>
      <c r="G134" s="487"/>
      <c r="H134" s="487"/>
      <c r="I134" s="487"/>
      <c r="J134" s="487"/>
      <c r="K134" s="483"/>
    </row>
    <row r="135" spans="1:11" ht="16.5">
      <c r="A135" s="483"/>
      <c r="B135" s="486"/>
      <c r="C135" s="527"/>
      <c r="D135" s="527"/>
      <c r="E135" s="527"/>
      <c r="F135" s="487"/>
      <c r="G135" s="487"/>
      <c r="H135" s="487"/>
      <c r="I135" s="487"/>
      <c r="J135" s="487"/>
      <c r="K135" s="483"/>
    </row>
    <row r="136" spans="1:11" ht="16.5">
      <c r="A136" s="483"/>
      <c r="B136" s="486"/>
      <c r="C136" s="527"/>
      <c r="D136" s="527"/>
      <c r="E136" s="527"/>
      <c r="F136" s="487"/>
      <c r="G136" s="487"/>
      <c r="H136" s="487"/>
      <c r="I136" s="487"/>
      <c r="J136" s="487"/>
      <c r="K136" s="483"/>
    </row>
    <row r="137" spans="1:11" ht="16.5">
      <c r="A137" s="483"/>
      <c r="B137" s="486"/>
      <c r="C137" s="527"/>
      <c r="D137" s="527"/>
      <c r="E137" s="527"/>
      <c r="F137" s="487"/>
      <c r="G137" s="487"/>
      <c r="H137" s="487"/>
      <c r="I137" s="487"/>
      <c r="J137" s="487"/>
      <c r="K137" s="483"/>
    </row>
    <row r="138" spans="1:11" ht="16.5">
      <c r="A138" s="483"/>
      <c r="B138" s="486"/>
      <c r="C138" s="527"/>
      <c r="D138" s="527"/>
      <c r="E138" s="527"/>
      <c r="F138" s="487"/>
      <c r="G138" s="487"/>
      <c r="H138" s="487"/>
      <c r="I138" s="487"/>
      <c r="J138" s="487"/>
      <c r="K138" s="483"/>
    </row>
    <row r="139" spans="1:11" ht="16.5">
      <c r="A139" s="483"/>
      <c r="B139" s="486"/>
      <c r="C139" s="527"/>
      <c r="D139" s="527"/>
      <c r="E139" s="527"/>
      <c r="F139" s="487"/>
      <c r="G139" s="487"/>
      <c r="H139" s="487"/>
      <c r="I139" s="487"/>
      <c r="J139" s="487"/>
      <c r="K139" s="483"/>
    </row>
    <row r="140" spans="1:11" ht="16.5">
      <c r="A140" s="483"/>
      <c r="B140" s="486"/>
      <c r="C140" s="527"/>
      <c r="D140" s="527"/>
      <c r="E140" s="527"/>
      <c r="F140" s="487"/>
      <c r="G140" s="487"/>
      <c r="H140" s="487"/>
      <c r="I140" s="487"/>
      <c r="J140" s="487"/>
      <c r="K140" s="483"/>
    </row>
    <row r="141" spans="1:11" ht="16.5">
      <c r="A141" s="483"/>
      <c r="B141" s="486"/>
      <c r="C141" s="527"/>
      <c r="D141" s="527"/>
      <c r="E141" s="527"/>
      <c r="F141" s="487"/>
      <c r="G141" s="487"/>
      <c r="H141" s="487"/>
      <c r="I141" s="487"/>
      <c r="J141" s="487"/>
      <c r="K141" s="483"/>
    </row>
    <row r="142" spans="1:11" ht="16.5">
      <c r="A142" s="483"/>
      <c r="B142" s="486"/>
      <c r="C142" s="527"/>
      <c r="D142" s="527"/>
      <c r="E142" s="527"/>
      <c r="F142" s="487"/>
      <c r="G142" s="487"/>
      <c r="H142" s="487"/>
      <c r="I142" s="487"/>
      <c r="J142" s="487"/>
      <c r="K142" s="483"/>
    </row>
    <row r="143" spans="1:11" ht="16.5">
      <c r="A143" s="483"/>
      <c r="B143" s="486"/>
      <c r="C143" s="527"/>
      <c r="D143" s="527"/>
      <c r="E143" s="527"/>
      <c r="F143" s="487"/>
      <c r="G143" s="487"/>
      <c r="H143" s="487"/>
      <c r="I143" s="487"/>
      <c r="J143" s="487"/>
      <c r="K143" s="483"/>
    </row>
    <row r="144" spans="1:11" ht="16.5">
      <c r="A144" s="483"/>
      <c r="B144" s="486"/>
      <c r="C144" s="527"/>
      <c r="D144" s="527"/>
      <c r="E144" s="527"/>
      <c r="F144" s="487"/>
      <c r="G144" s="487"/>
      <c r="H144" s="487"/>
      <c r="I144" s="487"/>
      <c r="J144" s="487"/>
      <c r="K144" s="483"/>
    </row>
    <row r="145" spans="1:11" ht="16.5">
      <c r="A145" s="483"/>
      <c r="B145" s="486"/>
      <c r="C145" s="527"/>
      <c r="D145" s="527"/>
      <c r="E145" s="527"/>
      <c r="F145" s="487"/>
      <c r="G145" s="487"/>
      <c r="H145" s="487"/>
      <c r="I145" s="487"/>
      <c r="J145" s="487"/>
      <c r="K145" s="483"/>
    </row>
    <row r="146" spans="1:11" ht="16.5">
      <c r="A146" s="483"/>
      <c r="B146" s="486"/>
      <c r="C146" s="527"/>
      <c r="D146" s="527"/>
      <c r="E146" s="527"/>
      <c r="F146" s="487"/>
      <c r="G146" s="487"/>
      <c r="H146" s="487"/>
      <c r="I146" s="487"/>
      <c r="J146" s="487"/>
      <c r="K146" s="483"/>
    </row>
    <row r="147" spans="1:11" ht="16.5">
      <c r="A147" s="483"/>
      <c r="B147" s="486"/>
      <c r="C147" s="527"/>
      <c r="D147" s="527"/>
      <c r="E147" s="527"/>
      <c r="F147" s="487"/>
      <c r="G147" s="487"/>
      <c r="H147" s="487"/>
      <c r="I147" s="487"/>
      <c r="J147" s="487"/>
      <c r="K147" s="483"/>
    </row>
    <row r="148" spans="1:11" ht="16.5">
      <c r="A148" s="483"/>
      <c r="B148" s="486"/>
      <c r="C148" s="527"/>
      <c r="D148" s="527"/>
      <c r="E148" s="527"/>
      <c r="F148" s="487"/>
      <c r="G148" s="487"/>
      <c r="H148" s="487"/>
      <c r="I148" s="487"/>
      <c r="J148" s="487"/>
      <c r="K148" s="483"/>
    </row>
    <row r="149" spans="1:11" ht="16.5">
      <c r="A149" s="483"/>
      <c r="B149" s="486"/>
      <c r="C149" s="527"/>
      <c r="D149" s="527"/>
      <c r="E149" s="527"/>
      <c r="F149" s="487"/>
      <c r="G149" s="487"/>
      <c r="H149" s="487"/>
      <c r="I149" s="487"/>
      <c r="J149" s="487"/>
      <c r="K149" s="483"/>
    </row>
    <row r="150" spans="1:11" ht="16.5">
      <c r="A150" s="483"/>
      <c r="B150" s="486"/>
      <c r="C150" s="527"/>
      <c r="D150" s="527"/>
      <c r="E150" s="527"/>
      <c r="F150" s="487"/>
      <c r="G150" s="487"/>
      <c r="H150" s="487"/>
      <c r="I150" s="487"/>
      <c r="J150" s="487"/>
      <c r="K150" s="483"/>
    </row>
    <row r="151" spans="1:11" ht="16.5">
      <c r="A151" s="483"/>
      <c r="B151" s="486"/>
      <c r="C151" s="527"/>
      <c r="D151" s="527"/>
      <c r="E151" s="527"/>
      <c r="F151" s="487"/>
      <c r="G151" s="487"/>
      <c r="H151" s="487"/>
      <c r="I151" s="487"/>
      <c r="J151" s="487"/>
      <c r="K151" s="483"/>
    </row>
    <row r="152" spans="1:11" ht="16.5">
      <c r="A152" s="483"/>
      <c r="B152" s="486"/>
      <c r="C152" s="527"/>
      <c r="D152" s="527"/>
      <c r="E152" s="527"/>
      <c r="F152" s="487"/>
      <c r="G152" s="487"/>
      <c r="H152" s="487"/>
      <c r="I152" s="487"/>
      <c r="J152" s="487"/>
      <c r="K152" s="483"/>
    </row>
    <row r="153" spans="1:11" ht="16.5">
      <c r="A153" s="483"/>
      <c r="B153" s="486"/>
      <c r="C153" s="527"/>
      <c r="D153" s="527"/>
      <c r="E153" s="527"/>
      <c r="F153" s="487"/>
      <c r="G153" s="487"/>
      <c r="H153" s="487"/>
      <c r="I153" s="487"/>
      <c r="J153" s="487"/>
      <c r="K153" s="483"/>
    </row>
    <row r="154" spans="1:11" ht="16.5">
      <c r="A154" s="483"/>
      <c r="B154" s="486"/>
      <c r="C154" s="527"/>
      <c r="D154" s="527"/>
      <c r="E154" s="527"/>
      <c r="F154" s="487"/>
      <c r="G154" s="487"/>
      <c r="H154" s="487"/>
      <c r="I154" s="487"/>
      <c r="J154" s="487"/>
      <c r="K154" s="483"/>
    </row>
    <row r="155" spans="1:11" ht="16.5">
      <c r="A155" s="483"/>
      <c r="B155" s="486"/>
      <c r="C155" s="527"/>
      <c r="D155" s="527"/>
      <c r="E155" s="527"/>
      <c r="F155" s="487"/>
      <c r="G155" s="487"/>
      <c r="H155" s="487"/>
      <c r="I155" s="487"/>
      <c r="J155" s="487"/>
      <c r="K155" s="483"/>
    </row>
    <row r="156" spans="1:11" ht="16.5">
      <c r="A156" s="483"/>
      <c r="B156" s="486"/>
      <c r="C156" s="527"/>
      <c r="D156" s="527"/>
      <c r="E156" s="527"/>
      <c r="F156" s="487"/>
      <c r="G156" s="487"/>
      <c r="H156" s="487"/>
      <c r="I156" s="487"/>
      <c r="J156" s="487"/>
      <c r="K156" s="483"/>
    </row>
    <row r="157" spans="1:11" ht="16.5">
      <c r="A157" s="483"/>
      <c r="B157" s="486"/>
      <c r="C157" s="527"/>
      <c r="D157" s="527"/>
      <c r="E157" s="527"/>
      <c r="F157" s="487"/>
      <c r="G157" s="487"/>
      <c r="H157" s="487"/>
      <c r="I157" s="487"/>
      <c r="J157" s="487"/>
      <c r="K157" s="483"/>
    </row>
    <row r="158" spans="1:11" ht="16.5">
      <c r="A158" s="483"/>
      <c r="B158" s="486"/>
      <c r="C158" s="527"/>
      <c r="D158" s="527"/>
      <c r="E158" s="527"/>
      <c r="F158" s="487"/>
      <c r="G158" s="487"/>
      <c r="H158" s="487"/>
      <c r="I158" s="487"/>
      <c r="J158" s="487"/>
      <c r="K158" s="483"/>
    </row>
    <row r="159" spans="1:11" ht="16.5">
      <c r="A159" s="483"/>
      <c r="B159" s="486"/>
      <c r="C159" s="527"/>
      <c r="D159" s="527"/>
      <c r="E159" s="527"/>
      <c r="F159" s="487"/>
      <c r="G159" s="487"/>
      <c r="H159" s="487"/>
      <c r="I159" s="487"/>
      <c r="J159" s="487"/>
      <c r="K159" s="483"/>
    </row>
    <row r="160" spans="1:11" ht="16.5">
      <c r="A160" s="483"/>
      <c r="B160" s="486"/>
      <c r="C160" s="527"/>
      <c r="D160" s="527"/>
      <c r="E160" s="527"/>
      <c r="F160" s="487"/>
      <c r="G160" s="487"/>
      <c r="H160" s="487"/>
      <c r="I160" s="487"/>
      <c r="J160" s="487"/>
      <c r="K160" s="483"/>
    </row>
    <row r="161" spans="1:11" ht="16.5">
      <c r="A161" s="483"/>
      <c r="B161" s="486"/>
      <c r="C161" s="527"/>
      <c r="D161" s="527"/>
      <c r="E161" s="527"/>
      <c r="F161" s="487"/>
      <c r="G161" s="487"/>
      <c r="H161" s="487"/>
      <c r="I161" s="487"/>
      <c r="J161" s="487"/>
      <c r="K161" s="483"/>
    </row>
    <row r="162" spans="1:11" ht="16.5">
      <c r="A162" s="483"/>
      <c r="B162" s="486"/>
      <c r="C162" s="527"/>
      <c r="D162" s="527"/>
      <c r="E162" s="527"/>
      <c r="F162" s="487"/>
      <c r="G162" s="487"/>
      <c r="H162" s="487"/>
      <c r="I162" s="487"/>
      <c r="J162" s="487"/>
      <c r="K162" s="483"/>
    </row>
    <row r="163" spans="1:11" ht="16.5">
      <c r="A163" s="483"/>
      <c r="B163" s="486"/>
      <c r="C163" s="527"/>
      <c r="D163" s="527"/>
      <c r="E163" s="527"/>
      <c r="F163" s="487"/>
      <c r="G163" s="487"/>
      <c r="H163" s="487"/>
      <c r="I163" s="487"/>
      <c r="J163" s="487"/>
      <c r="K163" s="483"/>
    </row>
    <row r="164" spans="1:11" ht="16.5">
      <c r="A164" s="483"/>
      <c r="B164" s="486"/>
      <c r="C164" s="527"/>
      <c r="D164" s="527"/>
      <c r="E164" s="527"/>
      <c r="F164" s="487"/>
      <c r="G164" s="487"/>
      <c r="H164" s="487"/>
      <c r="I164" s="487"/>
      <c r="J164" s="487"/>
      <c r="K164" s="483"/>
    </row>
    <row r="165" spans="1:11" ht="16.5">
      <c r="A165" s="483"/>
      <c r="B165" s="486"/>
      <c r="C165" s="527"/>
      <c r="D165" s="527"/>
      <c r="E165" s="527"/>
      <c r="F165" s="487"/>
      <c r="G165" s="487"/>
      <c r="H165" s="487"/>
      <c r="I165" s="487"/>
      <c r="J165" s="487"/>
      <c r="K165" s="483"/>
    </row>
    <row r="166" spans="1:11" ht="16.5">
      <c r="A166" s="483"/>
      <c r="B166" s="486"/>
      <c r="C166" s="527"/>
      <c r="D166" s="527"/>
      <c r="E166" s="527"/>
      <c r="F166" s="487"/>
      <c r="G166" s="487"/>
      <c r="H166" s="487"/>
      <c r="I166" s="487"/>
      <c r="J166" s="487"/>
      <c r="K166" s="483"/>
    </row>
    <row r="167" spans="1:11" ht="16.5">
      <c r="A167" s="483"/>
      <c r="B167" s="486"/>
      <c r="C167" s="527"/>
      <c r="D167" s="527"/>
      <c r="E167" s="527"/>
      <c r="F167" s="487"/>
      <c r="G167" s="487"/>
      <c r="H167" s="487"/>
      <c r="I167" s="487"/>
      <c r="J167" s="487"/>
      <c r="K167" s="483"/>
    </row>
    <row r="168" spans="1:11" ht="16.5">
      <c r="A168" s="483"/>
      <c r="B168" s="486"/>
      <c r="C168" s="527"/>
      <c r="D168" s="527"/>
      <c r="E168" s="527"/>
      <c r="F168" s="487"/>
      <c r="G168" s="487"/>
      <c r="H168" s="487"/>
      <c r="I168" s="487"/>
      <c r="J168" s="487"/>
      <c r="K168" s="483"/>
    </row>
    <row r="169" spans="1:11" ht="16.5">
      <c r="A169" s="483"/>
      <c r="B169" s="486"/>
      <c r="C169" s="527"/>
      <c r="D169" s="527"/>
      <c r="E169" s="527"/>
      <c r="F169" s="487"/>
      <c r="G169" s="487"/>
      <c r="H169" s="487"/>
      <c r="I169" s="487"/>
      <c r="J169" s="487"/>
      <c r="K169" s="483"/>
    </row>
    <row r="170" spans="1:11" ht="16.5">
      <c r="A170" s="483"/>
      <c r="B170" s="486"/>
      <c r="C170" s="527"/>
      <c r="D170" s="527"/>
      <c r="E170" s="527"/>
      <c r="F170" s="487"/>
      <c r="G170" s="487"/>
      <c r="H170" s="487"/>
      <c r="I170" s="487"/>
      <c r="J170" s="487"/>
      <c r="K170" s="483"/>
    </row>
    <row r="171" spans="1:11" ht="16.5">
      <c r="A171" s="483"/>
      <c r="B171" s="486"/>
      <c r="C171" s="527"/>
      <c r="D171" s="527"/>
      <c r="E171" s="527"/>
      <c r="F171" s="487"/>
      <c r="G171" s="487"/>
      <c r="H171" s="487"/>
      <c r="I171" s="487"/>
      <c r="J171" s="487"/>
      <c r="K171" s="483"/>
    </row>
    <row r="172" spans="1:11" ht="16.5">
      <c r="A172" s="483"/>
      <c r="B172" s="486"/>
      <c r="C172" s="527"/>
      <c r="D172" s="527"/>
      <c r="E172" s="527"/>
      <c r="F172" s="487"/>
      <c r="G172" s="487"/>
      <c r="H172" s="487"/>
      <c r="I172" s="487"/>
      <c r="J172" s="487"/>
      <c r="K172" s="483"/>
    </row>
    <row r="173" spans="1:11" ht="16.5">
      <c r="A173" s="483"/>
      <c r="B173" s="486"/>
      <c r="C173" s="527"/>
      <c r="D173" s="527"/>
      <c r="E173" s="527"/>
      <c r="F173" s="487"/>
      <c r="G173" s="487"/>
      <c r="H173" s="487"/>
      <c r="I173" s="487"/>
      <c r="J173" s="487"/>
      <c r="K173" s="483"/>
    </row>
    <row r="174" spans="1:11" ht="16.5">
      <c r="A174" s="483"/>
      <c r="B174" s="486"/>
      <c r="C174" s="527"/>
      <c r="D174" s="527"/>
      <c r="E174" s="527"/>
      <c r="F174" s="487"/>
      <c r="G174" s="487"/>
      <c r="H174" s="487"/>
      <c r="I174" s="487"/>
      <c r="J174" s="487"/>
      <c r="K174" s="483"/>
    </row>
    <row r="175" spans="1:11" ht="16.5">
      <c r="A175" s="483"/>
      <c r="B175" s="486"/>
      <c r="C175" s="527"/>
      <c r="D175" s="527"/>
      <c r="E175" s="527"/>
      <c r="F175" s="487"/>
      <c r="G175" s="487"/>
      <c r="H175" s="487"/>
      <c r="I175" s="487"/>
      <c r="J175" s="487"/>
      <c r="K175" s="483"/>
    </row>
    <row r="176" spans="1:11" ht="16.5">
      <c r="A176" s="483"/>
      <c r="B176" s="486"/>
      <c r="C176" s="527"/>
      <c r="D176" s="527"/>
      <c r="E176" s="527"/>
      <c r="F176" s="487"/>
      <c r="G176" s="487"/>
      <c r="H176" s="487"/>
      <c r="I176" s="487"/>
      <c r="J176" s="487"/>
      <c r="K176" s="483"/>
    </row>
    <row r="177" spans="1:11" ht="16.5">
      <c r="A177" s="483"/>
      <c r="B177" s="486"/>
      <c r="C177" s="527"/>
      <c r="D177" s="527"/>
      <c r="E177" s="527"/>
      <c r="F177" s="487"/>
      <c r="G177" s="487"/>
      <c r="H177" s="487"/>
      <c r="I177" s="487"/>
      <c r="J177" s="487"/>
      <c r="K177" s="483"/>
    </row>
    <row r="178" spans="1:11" ht="16.5">
      <c r="A178" s="483"/>
      <c r="B178" s="486"/>
      <c r="C178" s="527"/>
      <c r="D178" s="527"/>
      <c r="E178" s="527"/>
      <c r="F178" s="487"/>
      <c r="G178" s="487"/>
      <c r="H178" s="487"/>
      <c r="I178" s="487"/>
      <c r="J178" s="487"/>
      <c r="K178" s="483"/>
    </row>
    <row r="179" spans="1:11" ht="16.5">
      <c r="A179" s="483"/>
      <c r="B179" s="486"/>
      <c r="C179" s="527"/>
      <c r="D179" s="527"/>
      <c r="E179" s="527"/>
      <c r="F179" s="487"/>
      <c r="G179" s="487"/>
      <c r="H179" s="487"/>
      <c r="I179" s="487"/>
      <c r="J179" s="487"/>
      <c r="K179" s="483"/>
    </row>
    <row r="180" spans="1:11" ht="16.5">
      <c r="A180" s="483"/>
      <c r="B180" s="486"/>
      <c r="C180" s="527"/>
      <c r="D180" s="527"/>
      <c r="E180" s="527"/>
      <c r="F180" s="487"/>
      <c r="G180" s="487"/>
      <c r="H180" s="487"/>
      <c r="I180" s="487"/>
      <c r="J180" s="487"/>
      <c r="K180" s="483"/>
    </row>
    <row r="181" spans="1:11" ht="16.5">
      <c r="A181" s="483"/>
      <c r="B181" s="486"/>
      <c r="C181" s="527"/>
      <c r="D181" s="527"/>
      <c r="E181" s="527"/>
      <c r="F181" s="487"/>
      <c r="G181" s="487"/>
      <c r="H181" s="487"/>
      <c r="I181" s="487"/>
      <c r="J181" s="487"/>
      <c r="K181" s="483"/>
    </row>
    <row r="182" spans="1:11" ht="16.5">
      <c r="A182" s="483"/>
      <c r="B182" s="486"/>
      <c r="C182" s="527"/>
      <c r="D182" s="527"/>
      <c r="E182" s="527"/>
      <c r="F182" s="487"/>
      <c r="G182" s="487"/>
      <c r="H182" s="487"/>
      <c r="I182" s="487"/>
      <c r="J182" s="487"/>
      <c r="K182" s="483"/>
    </row>
    <row r="183" spans="1:11" ht="16.5">
      <c r="A183" s="483"/>
      <c r="B183" s="486"/>
      <c r="C183" s="527"/>
      <c r="D183" s="527"/>
      <c r="E183" s="527"/>
      <c r="F183" s="487"/>
      <c r="G183" s="487"/>
      <c r="H183" s="487"/>
      <c r="I183" s="487"/>
      <c r="J183" s="487"/>
      <c r="K183" s="483"/>
    </row>
    <row r="184" spans="1:11" ht="16.5">
      <c r="A184" s="483"/>
      <c r="B184" s="486"/>
      <c r="C184" s="527"/>
      <c r="D184" s="527"/>
      <c r="E184" s="527"/>
      <c r="F184" s="487"/>
      <c r="G184" s="487"/>
      <c r="H184" s="487"/>
      <c r="I184" s="487"/>
      <c r="J184" s="487"/>
      <c r="K184" s="483"/>
    </row>
    <row r="185" spans="1:11" ht="16.5">
      <c r="A185" s="483"/>
      <c r="B185" s="486"/>
      <c r="C185" s="527"/>
      <c r="D185" s="527"/>
      <c r="E185" s="527"/>
      <c r="F185" s="487"/>
      <c r="G185" s="487"/>
      <c r="H185" s="487"/>
      <c r="I185" s="487"/>
      <c r="J185" s="487"/>
      <c r="K185" s="483"/>
    </row>
    <row r="186" spans="1:11" ht="16.5">
      <c r="A186" s="483"/>
      <c r="B186" s="486"/>
      <c r="C186" s="527"/>
      <c r="D186" s="527"/>
      <c r="E186" s="527"/>
      <c r="F186" s="487"/>
      <c r="G186" s="487"/>
      <c r="H186" s="487"/>
      <c r="I186" s="487"/>
      <c r="J186" s="487"/>
      <c r="K186" s="483"/>
    </row>
    <row r="187" spans="1:11" ht="16.5">
      <c r="A187" s="483"/>
      <c r="B187" s="486"/>
      <c r="C187" s="527"/>
      <c r="D187" s="527"/>
      <c r="E187" s="527"/>
      <c r="F187" s="487"/>
      <c r="G187" s="487"/>
      <c r="H187" s="487"/>
      <c r="I187" s="487"/>
      <c r="J187" s="487"/>
      <c r="K187" s="483"/>
    </row>
    <row r="188" spans="1:11" ht="16.5">
      <c r="A188" s="483"/>
      <c r="B188" s="486"/>
      <c r="C188" s="527"/>
      <c r="D188" s="527"/>
      <c r="E188" s="527"/>
      <c r="F188" s="487"/>
      <c r="G188" s="487"/>
      <c r="H188" s="487"/>
      <c r="I188" s="487"/>
      <c r="J188" s="487"/>
      <c r="K188" s="483"/>
    </row>
    <row r="189" spans="1:11" ht="16.5">
      <c r="A189" s="483"/>
      <c r="B189" s="486"/>
      <c r="C189" s="527"/>
      <c r="D189" s="527"/>
      <c r="E189" s="527"/>
      <c r="F189" s="487"/>
      <c r="G189" s="487"/>
      <c r="H189" s="487"/>
      <c r="I189" s="487"/>
      <c r="J189" s="487"/>
      <c r="K189" s="483"/>
    </row>
    <row r="190" spans="1:11" ht="16.5">
      <c r="A190" s="483"/>
      <c r="B190" s="486"/>
      <c r="C190" s="527"/>
      <c r="D190" s="527"/>
      <c r="E190" s="527"/>
      <c r="F190" s="487"/>
      <c r="G190" s="487"/>
      <c r="H190" s="487"/>
      <c r="I190" s="487"/>
      <c r="J190" s="487"/>
      <c r="K190" s="483"/>
    </row>
    <row r="191" spans="1:11" ht="16.5">
      <c r="A191" s="483"/>
      <c r="B191" s="486"/>
      <c r="C191" s="527"/>
      <c r="D191" s="527"/>
      <c r="E191" s="527"/>
      <c r="F191" s="487"/>
      <c r="G191" s="487"/>
      <c r="H191" s="487"/>
      <c r="I191" s="487"/>
      <c r="J191" s="487"/>
      <c r="K191" s="483"/>
    </row>
    <row r="192" spans="1:11" ht="16.5">
      <c r="A192" s="483"/>
      <c r="B192" s="486"/>
      <c r="C192" s="527"/>
      <c r="D192" s="527"/>
      <c r="E192" s="527"/>
      <c r="F192" s="487"/>
      <c r="G192" s="487"/>
      <c r="H192" s="487"/>
      <c r="I192" s="487"/>
      <c r="J192" s="487"/>
      <c r="K192" s="483"/>
    </row>
    <row r="193" spans="1:11" ht="16.5">
      <c r="A193" s="483"/>
      <c r="B193" s="486"/>
      <c r="C193" s="527"/>
      <c r="D193" s="527"/>
      <c r="E193" s="527"/>
      <c r="F193" s="487"/>
      <c r="G193" s="487"/>
      <c r="H193" s="487"/>
      <c r="I193" s="487"/>
      <c r="J193" s="487"/>
      <c r="K193" s="483"/>
    </row>
    <row r="194" spans="1:11" ht="16.5">
      <c r="A194" s="483"/>
      <c r="B194" s="486"/>
      <c r="C194" s="527"/>
      <c r="D194" s="527"/>
      <c r="E194" s="527"/>
      <c r="F194" s="487"/>
      <c r="G194" s="487"/>
      <c r="H194" s="487"/>
      <c r="I194" s="487"/>
      <c r="J194" s="487"/>
      <c r="K194" s="483"/>
    </row>
    <row r="195" spans="1:11" ht="16.5">
      <c r="A195" s="483"/>
      <c r="B195" s="486"/>
      <c r="C195" s="527"/>
      <c r="D195" s="527"/>
      <c r="E195" s="527"/>
      <c r="F195" s="487"/>
      <c r="G195" s="487"/>
      <c r="H195" s="487"/>
      <c r="I195" s="487"/>
      <c r="J195" s="487"/>
      <c r="K195" s="483"/>
    </row>
    <row r="196" spans="1:11" ht="16.5">
      <c r="A196" s="483"/>
      <c r="B196" s="486"/>
      <c r="C196" s="527"/>
      <c r="D196" s="527"/>
      <c r="E196" s="527"/>
      <c r="F196" s="487"/>
      <c r="G196" s="487"/>
      <c r="H196" s="487"/>
      <c r="I196" s="487"/>
      <c r="J196" s="487"/>
      <c r="K196" s="483"/>
    </row>
    <row r="197" spans="1:11" ht="16.5">
      <c r="A197" s="483"/>
      <c r="B197" s="486"/>
      <c r="C197" s="527"/>
      <c r="D197" s="527"/>
      <c r="E197" s="527"/>
      <c r="F197" s="487"/>
      <c r="G197" s="487"/>
      <c r="H197" s="487"/>
      <c r="I197" s="487"/>
      <c r="J197" s="487"/>
      <c r="K197" s="483"/>
    </row>
    <row r="198" spans="1:11" ht="16.5">
      <c r="A198" s="483"/>
      <c r="B198" s="486"/>
      <c r="C198" s="527"/>
      <c r="D198" s="527"/>
      <c r="E198" s="527"/>
      <c r="F198" s="487"/>
      <c r="G198" s="487"/>
      <c r="H198" s="487"/>
      <c r="I198" s="487"/>
      <c r="J198" s="487"/>
      <c r="K198" s="483"/>
    </row>
    <row r="199" spans="1:11" ht="16.5">
      <c r="A199" s="483"/>
      <c r="B199" s="486"/>
      <c r="C199" s="527"/>
      <c r="D199" s="527"/>
      <c r="E199" s="527"/>
      <c r="F199" s="487"/>
      <c r="G199" s="487"/>
      <c r="H199" s="487"/>
      <c r="I199" s="487"/>
      <c r="J199" s="487"/>
      <c r="K199" s="483"/>
    </row>
    <row r="200" spans="1:11" ht="16.5">
      <c r="A200" s="483"/>
      <c r="B200" s="486"/>
      <c r="C200" s="527"/>
      <c r="D200" s="527"/>
      <c r="E200" s="527"/>
      <c r="F200" s="487"/>
      <c r="G200" s="487"/>
      <c r="H200" s="487"/>
      <c r="I200" s="487"/>
      <c r="J200" s="487"/>
      <c r="K200" s="483"/>
    </row>
    <row r="201" spans="1:11" ht="16.5">
      <c r="A201" s="483"/>
      <c r="B201" s="486"/>
      <c r="C201" s="527"/>
      <c r="D201" s="527"/>
      <c r="E201" s="527"/>
      <c r="F201" s="487"/>
      <c r="G201" s="487"/>
      <c r="H201" s="487"/>
      <c r="I201" s="487"/>
      <c r="J201" s="487"/>
      <c r="K201" s="483"/>
    </row>
    <row r="202" spans="1:11" ht="16.5">
      <c r="A202" s="483"/>
      <c r="B202" s="486"/>
      <c r="C202" s="527"/>
      <c r="D202" s="527"/>
      <c r="E202" s="527"/>
      <c r="F202" s="487"/>
      <c r="G202" s="487"/>
      <c r="H202" s="487"/>
      <c r="I202" s="487"/>
      <c r="J202" s="487"/>
      <c r="K202" s="483"/>
    </row>
    <row r="203" spans="1:11" ht="16.5">
      <c r="A203" s="483"/>
      <c r="B203" s="486"/>
      <c r="C203" s="527"/>
      <c r="D203" s="527"/>
      <c r="E203" s="527"/>
      <c r="F203" s="487"/>
      <c r="G203" s="487"/>
      <c r="H203" s="487"/>
      <c r="I203" s="487"/>
      <c r="J203" s="487"/>
      <c r="K203" s="483"/>
    </row>
    <row r="204" spans="1:11" ht="16.5">
      <c r="A204" s="483"/>
      <c r="B204" s="486"/>
      <c r="C204" s="527"/>
      <c r="D204" s="527"/>
      <c r="E204" s="527"/>
      <c r="F204" s="487"/>
      <c r="G204" s="487"/>
      <c r="H204" s="487"/>
      <c r="I204" s="487"/>
      <c r="J204" s="487"/>
      <c r="K204" s="483"/>
    </row>
    <row r="205" spans="1:11" ht="16.5">
      <c r="A205" s="483"/>
      <c r="B205" s="486"/>
      <c r="C205" s="527"/>
      <c r="D205" s="527"/>
      <c r="E205" s="527"/>
      <c r="F205" s="487"/>
      <c r="G205" s="487"/>
      <c r="H205" s="487"/>
      <c r="I205" s="487"/>
      <c r="J205" s="487"/>
      <c r="K205" s="483"/>
    </row>
    <row r="206" spans="1:11" ht="16.5">
      <c r="A206" s="483"/>
      <c r="B206" s="486"/>
      <c r="C206" s="527"/>
      <c r="D206" s="527"/>
      <c r="E206" s="527"/>
      <c r="F206" s="487"/>
      <c r="G206" s="487"/>
      <c r="H206" s="487"/>
      <c r="I206" s="487"/>
      <c r="J206" s="487"/>
      <c r="K206" s="483"/>
    </row>
    <row r="207" spans="1:11" ht="16.5">
      <c r="A207" s="483"/>
      <c r="B207" s="486"/>
      <c r="C207" s="527"/>
      <c r="D207" s="527"/>
      <c r="E207" s="527"/>
      <c r="F207" s="487"/>
      <c r="G207" s="487"/>
      <c r="H207" s="487"/>
      <c r="I207" s="487"/>
      <c r="J207" s="487"/>
      <c r="K207" s="483"/>
    </row>
    <row r="208" spans="1:11" ht="16.5">
      <c r="A208" s="483"/>
      <c r="B208" s="486"/>
      <c r="C208" s="527"/>
      <c r="D208" s="527"/>
      <c r="E208" s="527"/>
      <c r="F208" s="487"/>
      <c r="G208" s="487"/>
      <c r="H208" s="487"/>
      <c r="I208" s="487"/>
      <c r="J208" s="487"/>
      <c r="K208" s="483"/>
    </row>
    <row r="209" spans="1:11" ht="16.5">
      <c r="A209" s="483"/>
      <c r="B209" s="486"/>
      <c r="C209" s="527"/>
      <c r="D209" s="527"/>
      <c r="E209" s="527"/>
      <c r="F209" s="487"/>
      <c r="G209" s="487"/>
      <c r="H209" s="487"/>
      <c r="I209" s="487"/>
      <c r="J209" s="487"/>
      <c r="K209" s="483"/>
    </row>
    <row r="210" spans="1:11" ht="16.5">
      <c r="A210" s="483"/>
      <c r="B210" s="486"/>
      <c r="C210" s="527"/>
      <c r="D210" s="527"/>
      <c r="E210" s="527"/>
      <c r="F210" s="487"/>
      <c r="G210" s="487"/>
      <c r="H210" s="487"/>
      <c r="I210" s="487"/>
      <c r="J210" s="487"/>
      <c r="K210" s="483"/>
    </row>
    <row r="211" spans="1:11" ht="16.5">
      <c r="A211" s="483"/>
      <c r="B211" s="486"/>
      <c r="C211" s="527"/>
      <c r="D211" s="527"/>
      <c r="E211" s="527"/>
      <c r="F211" s="487"/>
      <c r="G211" s="487"/>
      <c r="H211" s="487"/>
      <c r="I211" s="487"/>
      <c r="J211" s="487"/>
      <c r="K211" s="483"/>
    </row>
    <row r="212" spans="1:11" ht="16.5">
      <c r="A212" s="483"/>
      <c r="B212" s="486"/>
      <c r="C212" s="527"/>
      <c r="D212" s="527"/>
      <c r="E212" s="527"/>
      <c r="F212" s="487"/>
      <c r="G212" s="487"/>
      <c r="H212" s="487"/>
      <c r="I212" s="487"/>
      <c r="J212" s="487"/>
      <c r="K212" s="483"/>
    </row>
    <row r="213" spans="1:11" ht="16.5">
      <c r="A213" s="483"/>
      <c r="B213" s="486"/>
      <c r="C213" s="527"/>
      <c r="D213" s="527"/>
      <c r="E213" s="527"/>
      <c r="F213" s="487"/>
      <c r="G213" s="487"/>
      <c r="H213" s="487"/>
      <c r="I213" s="487"/>
      <c r="J213" s="487"/>
      <c r="K213" s="483"/>
    </row>
    <row r="214" spans="1:11" ht="16.5">
      <c r="A214" s="483"/>
      <c r="B214" s="486"/>
      <c r="C214" s="527"/>
      <c r="D214" s="527"/>
      <c r="E214" s="527"/>
      <c r="F214" s="487"/>
      <c r="G214" s="487"/>
      <c r="H214" s="487"/>
      <c r="I214" s="487"/>
      <c r="J214" s="487"/>
      <c r="K214" s="483"/>
    </row>
    <row r="215" spans="1:11" ht="16.5">
      <c r="A215" s="483"/>
      <c r="B215" s="486"/>
      <c r="C215" s="527"/>
      <c r="D215" s="527"/>
      <c r="E215" s="527"/>
      <c r="F215" s="487"/>
      <c r="G215" s="487"/>
      <c r="H215" s="487"/>
      <c r="I215" s="487"/>
      <c r="J215" s="487"/>
      <c r="K215" s="483"/>
    </row>
    <row r="216" spans="1:11" ht="16.5">
      <c r="A216" s="483"/>
      <c r="B216" s="486"/>
      <c r="C216" s="527"/>
      <c r="D216" s="527"/>
      <c r="E216" s="527"/>
      <c r="F216" s="487"/>
      <c r="G216" s="487"/>
      <c r="H216" s="487"/>
      <c r="I216" s="487"/>
      <c r="J216" s="487"/>
      <c r="K216" s="483"/>
    </row>
    <row r="217" spans="1:11" ht="16.5">
      <c r="A217" s="483"/>
      <c r="B217" s="486"/>
      <c r="C217" s="527"/>
      <c r="D217" s="527"/>
      <c r="E217" s="527"/>
      <c r="F217" s="487"/>
      <c r="G217" s="487"/>
      <c r="H217" s="487"/>
      <c r="I217" s="487"/>
      <c r="J217" s="487"/>
      <c r="K217" s="483"/>
    </row>
    <row r="218" spans="1:11" ht="16.5">
      <c r="A218" s="483"/>
      <c r="B218" s="486"/>
      <c r="C218" s="527"/>
      <c r="D218" s="527"/>
      <c r="E218" s="527"/>
      <c r="F218" s="487"/>
      <c r="G218" s="487"/>
      <c r="H218" s="487"/>
      <c r="I218" s="487"/>
      <c r="J218" s="487"/>
      <c r="K218" s="483"/>
    </row>
    <row r="219" spans="1:11" ht="16.5">
      <c r="A219" s="483"/>
      <c r="B219" s="486"/>
      <c r="C219" s="527"/>
      <c r="D219" s="527"/>
      <c r="E219" s="527"/>
      <c r="F219" s="487"/>
      <c r="G219" s="487"/>
      <c r="H219" s="487"/>
      <c r="I219" s="487"/>
      <c r="J219" s="487"/>
      <c r="K219" s="483"/>
    </row>
    <row r="220" spans="1:11" ht="16.5">
      <c r="A220" s="483"/>
      <c r="B220" s="486"/>
      <c r="C220" s="527"/>
      <c r="D220" s="527"/>
      <c r="E220" s="527"/>
      <c r="F220" s="487"/>
      <c r="G220" s="487"/>
      <c r="H220" s="487"/>
      <c r="I220" s="487"/>
      <c r="J220" s="487"/>
      <c r="K220" s="483"/>
    </row>
    <row r="221" spans="1:11" ht="16.5">
      <c r="A221" s="483"/>
      <c r="B221" s="486"/>
      <c r="C221" s="527"/>
      <c r="D221" s="527"/>
      <c r="E221" s="527"/>
      <c r="F221" s="487"/>
      <c r="G221" s="487"/>
      <c r="H221" s="487"/>
      <c r="I221" s="487"/>
      <c r="J221" s="487"/>
      <c r="K221" s="483"/>
    </row>
    <row r="222" spans="1:11" ht="16.5">
      <c r="A222" s="483"/>
      <c r="B222" s="486"/>
      <c r="C222" s="527"/>
      <c r="D222" s="527"/>
      <c r="E222" s="527"/>
      <c r="F222" s="487"/>
      <c r="G222" s="487"/>
      <c r="H222" s="487"/>
      <c r="I222" s="487"/>
      <c r="J222" s="487"/>
      <c r="K222" s="483"/>
    </row>
    <row r="223" spans="1:11" ht="16.5">
      <c r="A223" s="483"/>
      <c r="B223" s="486"/>
      <c r="C223" s="527"/>
      <c r="D223" s="527"/>
      <c r="E223" s="527"/>
      <c r="F223" s="487"/>
      <c r="G223" s="487"/>
      <c r="H223" s="487"/>
      <c r="I223" s="487"/>
      <c r="J223" s="487"/>
      <c r="K223" s="483"/>
    </row>
    <row r="224" spans="1:11" ht="16.5">
      <c r="A224" s="483"/>
      <c r="B224" s="486"/>
      <c r="C224" s="527"/>
      <c r="D224" s="527"/>
      <c r="E224" s="527"/>
      <c r="F224" s="487"/>
      <c r="G224" s="487"/>
      <c r="H224" s="487"/>
      <c r="I224" s="487"/>
      <c r="J224" s="487"/>
      <c r="K224" s="483"/>
    </row>
    <row r="225" spans="1:11" ht="16.5">
      <c r="A225" s="483"/>
      <c r="B225" s="486"/>
      <c r="C225" s="527"/>
      <c r="D225" s="527"/>
      <c r="E225" s="527"/>
      <c r="F225" s="487"/>
      <c r="G225" s="487"/>
      <c r="H225" s="487"/>
      <c r="I225" s="487"/>
      <c r="J225" s="487"/>
      <c r="K225" s="483"/>
    </row>
    <row r="226" spans="1:11" ht="16.5">
      <c r="A226" s="483"/>
      <c r="B226" s="486"/>
      <c r="C226" s="527"/>
      <c r="D226" s="527"/>
      <c r="E226" s="527"/>
      <c r="F226" s="487"/>
      <c r="G226" s="487"/>
      <c r="H226" s="487"/>
      <c r="I226" s="487"/>
      <c r="J226" s="487"/>
      <c r="K226" s="483"/>
    </row>
    <row r="227" spans="1:11" ht="16.5">
      <c r="A227" s="483"/>
      <c r="B227" s="486"/>
      <c r="C227" s="527"/>
      <c r="D227" s="527"/>
      <c r="E227" s="527"/>
      <c r="F227" s="487"/>
      <c r="G227" s="487"/>
      <c r="H227" s="487"/>
      <c r="I227" s="487"/>
      <c r="J227" s="487"/>
      <c r="K227" s="483"/>
    </row>
    <row r="228" spans="1:11" ht="16.5">
      <c r="A228" s="483"/>
      <c r="B228" s="486"/>
      <c r="C228" s="527"/>
      <c r="D228" s="527"/>
      <c r="E228" s="527"/>
      <c r="F228" s="487"/>
      <c r="G228" s="487"/>
      <c r="H228" s="487"/>
      <c r="I228" s="487"/>
      <c r="J228" s="487"/>
      <c r="K228" s="483"/>
    </row>
    <row r="229" spans="1:11" ht="16.5">
      <c r="A229" s="483"/>
      <c r="B229" s="486"/>
      <c r="C229" s="527"/>
      <c r="D229" s="527"/>
      <c r="E229" s="527"/>
      <c r="F229" s="487"/>
      <c r="G229" s="487"/>
      <c r="H229" s="487"/>
      <c r="I229" s="487"/>
      <c r="J229" s="487"/>
      <c r="K229" s="483"/>
    </row>
    <row r="230" spans="1:11" ht="16.5">
      <c r="A230" s="483"/>
      <c r="B230" s="486"/>
      <c r="C230" s="527"/>
      <c r="D230" s="527"/>
      <c r="E230" s="527"/>
      <c r="F230" s="487"/>
      <c r="G230" s="487"/>
      <c r="H230" s="487"/>
      <c r="I230" s="487"/>
      <c r="J230" s="487"/>
      <c r="K230" s="483"/>
    </row>
    <row r="231" spans="1:11" ht="16.5">
      <c r="A231" s="483"/>
      <c r="B231" s="486"/>
      <c r="C231" s="527"/>
      <c r="D231" s="527"/>
      <c r="E231" s="527"/>
      <c r="F231" s="487"/>
      <c r="G231" s="487"/>
      <c r="H231" s="487"/>
      <c r="I231" s="487"/>
      <c r="J231" s="487"/>
      <c r="K231" s="483"/>
    </row>
    <row r="232" spans="1:11" ht="16.5">
      <c r="A232" s="483"/>
      <c r="B232" s="486"/>
      <c r="C232" s="527"/>
      <c r="D232" s="527"/>
      <c r="E232" s="527"/>
      <c r="F232" s="487"/>
      <c r="G232" s="487"/>
      <c r="H232" s="487"/>
      <c r="I232" s="487"/>
      <c r="J232" s="487"/>
      <c r="K232" s="483"/>
    </row>
    <row r="233" spans="1:11" ht="16.5">
      <c r="A233" s="483"/>
      <c r="B233" s="486"/>
      <c r="C233" s="527"/>
      <c r="D233" s="527"/>
      <c r="E233" s="527"/>
      <c r="F233" s="487"/>
      <c r="G233" s="487"/>
      <c r="H233" s="487"/>
      <c r="I233" s="487"/>
      <c r="J233" s="487"/>
      <c r="K233" s="483"/>
    </row>
    <row r="234" spans="1:11" ht="16.5">
      <c r="A234" s="483"/>
      <c r="B234" s="486"/>
      <c r="C234" s="527"/>
      <c r="D234" s="527"/>
      <c r="E234" s="527"/>
      <c r="F234" s="487"/>
      <c r="G234" s="487"/>
      <c r="H234" s="487"/>
      <c r="I234" s="487"/>
      <c r="J234" s="487"/>
      <c r="K234" s="483"/>
    </row>
    <row r="235" spans="1:11" ht="16.5">
      <c r="A235" s="483"/>
      <c r="B235" s="486"/>
      <c r="C235" s="527"/>
      <c r="D235" s="527"/>
      <c r="E235" s="527"/>
      <c r="F235" s="487"/>
      <c r="G235" s="487"/>
      <c r="H235" s="487"/>
      <c r="I235" s="487"/>
      <c r="J235" s="487"/>
      <c r="K235" s="483"/>
    </row>
    <row r="236" spans="1:11" ht="16.5">
      <c r="A236" s="483"/>
      <c r="B236" s="486"/>
      <c r="C236" s="527"/>
      <c r="D236" s="527"/>
      <c r="E236" s="527"/>
      <c r="F236" s="487"/>
      <c r="G236" s="487"/>
      <c r="H236" s="487"/>
      <c r="I236" s="487"/>
      <c r="J236" s="487"/>
      <c r="K236" s="483"/>
    </row>
    <row r="237" spans="1:11" ht="16.5">
      <c r="A237" s="483"/>
      <c r="B237" s="486"/>
      <c r="C237" s="527"/>
      <c r="D237" s="527"/>
      <c r="E237" s="527"/>
      <c r="F237" s="487"/>
      <c r="G237" s="487"/>
      <c r="H237" s="487"/>
      <c r="I237" s="487"/>
      <c r="J237" s="487"/>
      <c r="K237" s="483"/>
    </row>
    <row r="238" spans="1:11" ht="16.5">
      <c r="A238" s="483"/>
      <c r="B238" s="486"/>
      <c r="C238" s="527"/>
      <c r="D238" s="527"/>
      <c r="E238" s="527"/>
      <c r="F238" s="487"/>
      <c r="G238" s="487"/>
      <c r="H238" s="487"/>
      <c r="I238" s="487"/>
      <c r="J238" s="487"/>
      <c r="K238" s="483"/>
    </row>
    <row r="239" spans="1:11" ht="16.5">
      <c r="A239" s="483"/>
      <c r="B239" s="486"/>
      <c r="C239" s="527"/>
      <c r="D239" s="527"/>
      <c r="E239" s="527"/>
      <c r="F239" s="487"/>
      <c r="G239" s="487"/>
      <c r="H239" s="487"/>
      <c r="I239" s="487"/>
      <c r="J239" s="487"/>
      <c r="K239" s="483"/>
    </row>
    <row r="240" spans="1:11" ht="16.5">
      <c r="A240" s="483"/>
      <c r="B240" s="486"/>
      <c r="C240" s="527"/>
      <c r="D240" s="527"/>
      <c r="E240" s="527"/>
      <c r="F240" s="487"/>
      <c r="G240" s="487"/>
      <c r="H240" s="487"/>
      <c r="I240" s="487"/>
      <c r="J240" s="487"/>
      <c r="K240" s="483"/>
    </row>
    <row r="241" spans="1:11" ht="16.5">
      <c r="A241" s="483"/>
      <c r="B241" s="486"/>
      <c r="C241" s="527"/>
      <c r="D241" s="527"/>
      <c r="E241" s="527"/>
      <c r="F241" s="487"/>
      <c r="G241" s="487"/>
      <c r="H241" s="487"/>
      <c r="I241" s="487"/>
      <c r="J241" s="487"/>
      <c r="K241" s="483"/>
    </row>
    <row r="242" spans="1:11" ht="16.5">
      <c r="A242" s="483"/>
      <c r="B242" s="486"/>
      <c r="C242" s="527"/>
      <c r="D242" s="527"/>
      <c r="E242" s="527"/>
      <c r="F242" s="487"/>
      <c r="G242" s="487"/>
      <c r="H242" s="487"/>
      <c r="I242" s="487"/>
      <c r="J242" s="487"/>
      <c r="K242" s="483"/>
    </row>
    <row r="243" spans="1:11" ht="16.5">
      <c r="A243" s="483"/>
      <c r="B243" s="486"/>
      <c r="C243" s="527"/>
      <c r="D243" s="527"/>
      <c r="E243" s="527"/>
      <c r="F243" s="487"/>
      <c r="G243" s="487"/>
      <c r="H243" s="487"/>
      <c r="I243" s="487"/>
      <c r="J243" s="487"/>
      <c r="K243" s="483"/>
    </row>
    <row r="244" spans="1:11" ht="16.5">
      <c r="A244" s="483"/>
      <c r="B244" s="486"/>
      <c r="C244" s="527"/>
      <c r="D244" s="527"/>
      <c r="E244" s="527"/>
      <c r="F244" s="487"/>
      <c r="G244" s="487"/>
      <c r="H244" s="487"/>
      <c r="I244" s="487"/>
      <c r="J244" s="487"/>
      <c r="K244" s="483"/>
    </row>
    <row r="245" spans="1:11" ht="16.5">
      <c r="A245" s="483"/>
      <c r="B245" s="486"/>
      <c r="C245" s="527"/>
      <c r="D245" s="527"/>
      <c r="E245" s="527"/>
      <c r="F245" s="487"/>
      <c r="G245" s="487"/>
      <c r="H245" s="487"/>
      <c r="I245" s="487"/>
      <c r="J245" s="487"/>
      <c r="K245" s="483"/>
    </row>
    <row r="246" spans="1:11" ht="16.5">
      <c r="A246" s="483"/>
      <c r="B246" s="486"/>
      <c r="C246" s="527"/>
      <c r="D246" s="527"/>
      <c r="E246" s="527"/>
      <c r="F246" s="487"/>
      <c r="G246" s="487"/>
      <c r="H246" s="487"/>
      <c r="I246" s="487"/>
      <c r="J246" s="487"/>
      <c r="K246" s="483"/>
    </row>
    <row r="247" spans="1:11" ht="16.5">
      <c r="A247" s="483"/>
      <c r="B247" s="486"/>
      <c r="C247" s="527"/>
      <c r="D247" s="527"/>
      <c r="E247" s="527"/>
      <c r="F247" s="487"/>
      <c r="G247" s="487"/>
      <c r="H247" s="487"/>
      <c r="I247" s="487"/>
      <c r="J247" s="487"/>
      <c r="K247" s="483"/>
    </row>
    <row r="248" spans="1:11" ht="16.5">
      <c r="A248" s="483"/>
      <c r="B248" s="486"/>
      <c r="C248" s="527"/>
      <c r="D248" s="527"/>
      <c r="E248" s="527"/>
      <c r="F248" s="487"/>
      <c r="G248" s="487"/>
      <c r="H248" s="487"/>
      <c r="I248" s="487"/>
      <c r="J248" s="487"/>
      <c r="K248" s="483"/>
    </row>
    <row r="249" spans="1:11" ht="16.5">
      <c r="A249" s="483"/>
      <c r="B249" s="486"/>
      <c r="C249" s="527"/>
      <c r="D249" s="527"/>
      <c r="E249" s="527"/>
      <c r="F249" s="487"/>
      <c r="G249" s="487"/>
      <c r="H249" s="487"/>
      <c r="I249" s="487"/>
      <c r="J249" s="487"/>
      <c r="K249" s="483"/>
    </row>
    <row r="250" spans="1:11" ht="16.5">
      <c r="A250" s="483"/>
      <c r="B250" s="486"/>
      <c r="C250" s="527"/>
      <c r="D250" s="527"/>
      <c r="E250" s="527"/>
      <c r="F250" s="487"/>
      <c r="G250" s="487"/>
      <c r="H250" s="487"/>
      <c r="I250" s="487"/>
      <c r="J250" s="487"/>
      <c r="K250" s="483"/>
    </row>
    <row r="251" spans="1:11" ht="16.5">
      <c r="A251" s="483"/>
      <c r="B251" s="486"/>
      <c r="C251" s="527"/>
      <c r="D251" s="527"/>
      <c r="E251" s="527"/>
      <c r="F251" s="487"/>
      <c r="G251" s="487"/>
      <c r="H251" s="487"/>
      <c r="I251" s="487"/>
      <c r="J251" s="487"/>
      <c r="K251" s="483"/>
    </row>
    <row r="252" spans="1:11" ht="16.5">
      <c r="A252" s="483"/>
      <c r="B252" s="486"/>
      <c r="C252" s="527"/>
      <c r="D252" s="527"/>
      <c r="E252" s="527"/>
      <c r="F252" s="487"/>
      <c r="G252" s="487"/>
      <c r="H252" s="487"/>
      <c r="I252" s="487"/>
      <c r="J252" s="487"/>
      <c r="K252" s="483"/>
    </row>
    <row r="253" spans="1:11" ht="16.5">
      <c r="A253" s="483"/>
      <c r="B253" s="486"/>
      <c r="C253" s="527"/>
      <c r="D253" s="527"/>
      <c r="E253" s="527"/>
      <c r="F253" s="487"/>
      <c r="G253" s="487"/>
      <c r="H253" s="487"/>
      <c r="I253" s="487"/>
      <c r="J253" s="487"/>
      <c r="K253" s="483"/>
    </row>
    <row r="254" spans="1:11" ht="16.5">
      <c r="A254" s="483"/>
      <c r="B254" s="486"/>
      <c r="C254" s="527"/>
      <c r="D254" s="527"/>
      <c r="E254" s="527"/>
      <c r="F254" s="487"/>
      <c r="G254" s="487"/>
      <c r="H254" s="487"/>
      <c r="I254" s="487"/>
      <c r="J254" s="487"/>
      <c r="K254" s="483"/>
    </row>
    <row r="255" spans="1:11" ht="16.5">
      <c r="A255" s="483"/>
      <c r="B255" s="486"/>
      <c r="C255" s="527"/>
      <c r="D255" s="527"/>
      <c r="E255" s="527"/>
      <c r="F255" s="487"/>
      <c r="G255" s="487"/>
      <c r="H255" s="487"/>
      <c r="I255" s="487"/>
      <c r="J255" s="487"/>
      <c r="K255" s="483"/>
    </row>
    <row r="256" spans="1:11" ht="16.5">
      <c r="A256" s="483"/>
      <c r="B256" s="486"/>
      <c r="C256" s="527"/>
      <c r="D256" s="527"/>
      <c r="E256" s="527"/>
      <c r="F256" s="487"/>
      <c r="G256" s="487"/>
      <c r="H256" s="487"/>
      <c r="I256" s="487"/>
      <c r="J256" s="487"/>
      <c r="K256" s="483"/>
    </row>
    <row r="257" spans="1:11" ht="16.5">
      <c r="A257" s="483"/>
      <c r="B257" s="486"/>
      <c r="C257" s="527"/>
      <c r="D257" s="527"/>
      <c r="E257" s="527"/>
      <c r="F257" s="487"/>
      <c r="G257" s="487"/>
      <c r="H257" s="487"/>
      <c r="I257" s="487"/>
      <c r="J257" s="487"/>
      <c r="K257" s="483"/>
    </row>
    <row r="258" spans="1:11" ht="16.5">
      <c r="A258" s="483"/>
      <c r="B258" s="486"/>
      <c r="C258" s="527"/>
      <c r="D258" s="527"/>
      <c r="E258" s="527"/>
      <c r="F258" s="487"/>
      <c r="G258" s="487"/>
      <c r="H258" s="487"/>
      <c r="I258" s="487"/>
      <c r="J258" s="487"/>
      <c r="K258" s="483"/>
    </row>
    <row r="259" spans="1:11" ht="16.5">
      <c r="A259" s="483"/>
      <c r="B259" s="486"/>
      <c r="C259" s="527"/>
      <c r="D259" s="527"/>
      <c r="E259" s="527"/>
      <c r="F259" s="487"/>
      <c r="G259" s="487"/>
      <c r="H259" s="487"/>
      <c r="I259" s="487"/>
      <c r="J259" s="487"/>
      <c r="K259" s="483"/>
    </row>
    <row r="260" spans="1:11" ht="16.5">
      <c r="A260" s="483"/>
      <c r="B260" s="486"/>
      <c r="C260" s="527"/>
      <c r="D260" s="527"/>
      <c r="E260" s="527"/>
      <c r="F260" s="487"/>
      <c r="G260" s="487"/>
      <c r="H260" s="487"/>
      <c r="I260" s="487"/>
      <c r="J260" s="487"/>
      <c r="K260" s="483"/>
    </row>
    <row r="261" spans="1:11" ht="16.5">
      <c r="A261" s="483"/>
      <c r="B261" s="486"/>
      <c r="C261" s="527"/>
      <c r="D261" s="527"/>
      <c r="E261" s="527"/>
      <c r="F261" s="487"/>
      <c r="G261" s="487"/>
      <c r="H261" s="487"/>
      <c r="I261" s="487"/>
      <c r="J261" s="487"/>
      <c r="K261" s="483"/>
    </row>
    <row r="262" spans="1:11" ht="16.5">
      <c r="A262" s="483"/>
      <c r="B262" s="486"/>
      <c r="C262" s="527"/>
      <c r="D262" s="527"/>
      <c r="E262" s="527"/>
      <c r="F262" s="487"/>
      <c r="G262" s="487"/>
      <c r="H262" s="487"/>
      <c r="I262" s="487"/>
      <c r="J262" s="487"/>
      <c r="K262" s="483"/>
    </row>
    <row r="263" spans="1:11" ht="16.5">
      <c r="A263" s="483"/>
      <c r="B263" s="486"/>
      <c r="C263" s="527"/>
      <c r="D263" s="527"/>
      <c r="E263" s="527"/>
      <c r="F263" s="487"/>
      <c r="G263" s="487"/>
      <c r="H263" s="487"/>
      <c r="I263" s="487"/>
      <c r="J263" s="487"/>
      <c r="K263" s="483"/>
    </row>
    <row r="264" spans="1:11" ht="16.5">
      <c r="A264" s="483"/>
      <c r="B264" s="486"/>
      <c r="C264" s="527"/>
      <c r="D264" s="527"/>
      <c r="E264" s="527"/>
      <c r="F264" s="487"/>
      <c r="G264" s="487"/>
      <c r="H264" s="487"/>
      <c r="I264" s="487"/>
      <c r="J264" s="487"/>
      <c r="K264" s="483"/>
    </row>
    <row r="265" spans="1:11" ht="16.5">
      <c r="A265" s="483"/>
      <c r="B265" s="486"/>
      <c r="C265" s="527"/>
      <c r="D265" s="527"/>
      <c r="E265" s="527"/>
      <c r="F265" s="487"/>
      <c r="G265" s="487"/>
      <c r="H265" s="487"/>
      <c r="I265" s="487"/>
      <c r="J265" s="487"/>
      <c r="K265" s="483"/>
    </row>
    <row r="266" spans="1:11" ht="16.5">
      <c r="A266" s="483"/>
      <c r="B266" s="486"/>
      <c r="C266" s="527"/>
      <c r="D266" s="527"/>
      <c r="E266" s="527"/>
      <c r="F266" s="487"/>
      <c r="G266" s="487"/>
      <c r="H266" s="487"/>
      <c r="I266" s="487"/>
      <c r="J266" s="487"/>
      <c r="K266" s="483"/>
    </row>
    <row r="267" spans="1:11" ht="16.5">
      <c r="A267" s="483"/>
      <c r="B267" s="486"/>
      <c r="C267" s="527"/>
      <c r="D267" s="527"/>
      <c r="E267" s="527"/>
      <c r="F267" s="487"/>
      <c r="G267" s="487"/>
      <c r="H267" s="487"/>
      <c r="I267" s="487"/>
      <c r="J267" s="487"/>
      <c r="K267" s="483"/>
    </row>
    <row r="268" spans="1:11" ht="16.5">
      <c r="A268" s="483"/>
      <c r="B268" s="486"/>
      <c r="C268" s="527"/>
      <c r="D268" s="527"/>
      <c r="E268" s="527"/>
      <c r="F268" s="487"/>
      <c r="G268" s="487"/>
      <c r="H268" s="487"/>
      <c r="I268" s="487"/>
      <c r="J268" s="487"/>
      <c r="K268" s="483"/>
    </row>
    <row r="269" spans="1:11" ht="16.5">
      <c r="A269" s="483"/>
      <c r="B269" s="486"/>
      <c r="C269" s="527"/>
      <c r="D269" s="527"/>
      <c r="E269" s="527"/>
      <c r="F269" s="487"/>
      <c r="G269" s="487"/>
      <c r="H269" s="487"/>
      <c r="I269" s="487"/>
      <c r="J269" s="487"/>
      <c r="K269" s="483"/>
    </row>
    <row r="270" spans="1:11" ht="16.5">
      <c r="A270" s="483"/>
      <c r="B270" s="486"/>
      <c r="C270" s="527"/>
      <c r="D270" s="527"/>
      <c r="E270" s="527"/>
      <c r="F270" s="487"/>
      <c r="G270" s="487"/>
      <c r="H270" s="487"/>
      <c r="I270" s="487"/>
      <c r="J270" s="487"/>
      <c r="K270" s="483"/>
    </row>
    <row r="271" spans="1:11" ht="16.5">
      <c r="A271" s="483"/>
      <c r="B271" s="486"/>
      <c r="C271" s="527"/>
      <c r="D271" s="527"/>
      <c r="E271" s="527"/>
      <c r="F271" s="487"/>
      <c r="G271" s="487"/>
      <c r="H271" s="487"/>
      <c r="I271" s="487"/>
      <c r="J271" s="487"/>
      <c r="K271" s="483"/>
    </row>
    <row r="272" spans="1:11" ht="16.5">
      <c r="A272" s="483"/>
      <c r="B272" s="486"/>
      <c r="C272" s="527"/>
      <c r="D272" s="527"/>
      <c r="E272" s="527"/>
      <c r="F272" s="487"/>
      <c r="G272" s="487"/>
      <c r="H272" s="487"/>
      <c r="I272" s="487"/>
      <c r="J272" s="487"/>
      <c r="K272" s="483"/>
    </row>
    <row r="273" spans="1:11" ht="16.5">
      <c r="A273" s="483"/>
      <c r="B273" s="486"/>
      <c r="C273" s="527"/>
      <c r="D273" s="527"/>
      <c r="E273" s="527"/>
      <c r="F273" s="487"/>
      <c r="G273" s="487"/>
      <c r="H273" s="487"/>
      <c r="I273" s="487"/>
      <c r="J273" s="487"/>
      <c r="K273" s="483"/>
    </row>
    <row r="274" spans="1:11" ht="16.5">
      <c r="A274" s="483"/>
      <c r="B274" s="486"/>
      <c r="C274" s="527"/>
      <c r="D274" s="527"/>
      <c r="E274" s="527"/>
      <c r="F274" s="487"/>
      <c r="G274" s="487"/>
      <c r="H274" s="487"/>
      <c r="I274" s="487"/>
      <c r="J274" s="487"/>
      <c r="K274" s="483"/>
    </row>
    <row r="275" spans="1:11" ht="16.5">
      <c r="A275" s="483"/>
      <c r="B275" s="486"/>
      <c r="C275" s="527"/>
      <c r="D275" s="527"/>
      <c r="E275" s="527"/>
      <c r="F275" s="487"/>
      <c r="G275" s="487"/>
      <c r="H275" s="487"/>
      <c r="I275" s="487"/>
      <c r="J275" s="487"/>
      <c r="K275" s="483"/>
    </row>
    <row r="276" spans="1:11" ht="16.5">
      <c r="A276" s="483"/>
      <c r="B276" s="486"/>
      <c r="C276" s="527"/>
      <c r="D276" s="527"/>
      <c r="E276" s="527"/>
      <c r="F276" s="487"/>
      <c r="G276" s="487"/>
      <c r="H276" s="487"/>
      <c r="I276" s="487"/>
      <c r="J276" s="487"/>
      <c r="K276" s="483"/>
    </row>
    <row r="277" spans="1:11" ht="16.5">
      <c r="A277" s="483"/>
      <c r="B277" s="486"/>
      <c r="C277" s="527"/>
      <c r="D277" s="527"/>
      <c r="E277" s="527"/>
      <c r="F277" s="487"/>
      <c r="G277" s="487"/>
      <c r="H277" s="487"/>
      <c r="I277" s="487"/>
      <c r="J277" s="487"/>
      <c r="K277" s="483"/>
    </row>
    <row r="278" spans="1:11" ht="16.5">
      <c r="A278" s="483"/>
      <c r="B278" s="486"/>
      <c r="C278" s="527"/>
      <c r="D278" s="527"/>
      <c r="E278" s="527"/>
      <c r="F278" s="487"/>
      <c r="G278" s="487"/>
      <c r="H278" s="487"/>
      <c r="I278" s="487"/>
      <c r="J278" s="487"/>
      <c r="K278" s="483"/>
    </row>
  </sheetData>
  <sheetProtection/>
  <mergeCells count="12">
    <mergeCell ref="K1:M1"/>
    <mergeCell ref="B2:L2"/>
    <mergeCell ref="E5:E6"/>
    <mergeCell ref="F5:J5"/>
    <mergeCell ref="K5:K6"/>
    <mergeCell ref="L5:L6"/>
    <mergeCell ref="A5:A6"/>
    <mergeCell ref="B5:B6"/>
    <mergeCell ref="C5:C6"/>
    <mergeCell ref="D5:D6"/>
    <mergeCell ref="M5:M6"/>
    <mergeCell ref="B3:K3"/>
  </mergeCells>
  <printOptions horizontalCentered="1"/>
  <pageMargins left="0.2" right="0.2" top="0.5" bottom="0.2" header="0.2" footer="0.47"/>
  <pageSetup fitToHeight="0" horizontalDpi="600" verticalDpi="600" orientation="landscape" paperSize="9" scale="70" r:id="rId3"/>
  <headerFooter alignWithMargins="0">
    <oddFooter>&amp;R&amp;P/&amp;N</oddFooter>
  </headerFooter>
  <ignoredErrors>
    <ignoredError sqref="F75:K75" numberStoredAsText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53"/>
  <sheetViews>
    <sheetView zoomScale="85" zoomScaleNormal="85" zoomScalePageLayoutView="0" workbookViewId="0" topLeftCell="A7">
      <selection activeCell="E14" sqref="E14"/>
    </sheetView>
  </sheetViews>
  <sheetFormatPr defaultColWidth="9.140625" defaultRowHeight="12.75"/>
  <cols>
    <col min="1" max="1" width="5.8515625" style="405" customWidth="1"/>
    <col min="2" max="2" width="33.140625" style="382" customWidth="1"/>
    <col min="3" max="3" width="17.421875" style="383" customWidth="1"/>
    <col min="4" max="5" width="19.00390625" style="405" customWidth="1"/>
    <col min="6" max="6" width="16.28125" style="381" customWidth="1"/>
    <col min="7" max="7" width="15.28125" style="381" customWidth="1"/>
    <col min="8" max="8" width="17.00390625" style="381" customWidth="1"/>
    <col min="9" max="9" width="14.421875" style="381" customWidth="1"/>
    <col min="10" max="10" width="15.00390625" style="381" customWidth="1"/>
    <col min="11" max="16384" width="9.140625" style="381" customWidth="1"/>
  </cols>
  <sheetData>
    <row r="1" spans="1:10" ht="36.75" customHeight="1">
      <c r="A1" s="381"/>
      <c r="B1" s="406" t="s">
        <v>553</v>
      </c>
      <c r="D1" s="383"/>
      <c r="E1" s="383"/>
      <c r="G1" s="974" t="s">
        <v>560</v>
      </c>
      <c r="H1" s="974"/>
      <c r="I1" s="965" t="s">
        <v>566</v>
      </c>
      <c r="J1" s="965"/>
    </row>
    <row r="2" spans="1:10" ht="24.75" customHeight="1">
      <c r="A2" s="381"/>
      <c r="B2" s="966" t="str">
        <f>'BM1CTTH(21-25)'!B2:J2</f>
        <v>Huyện Tuần Giáo</v>
      </c>
      <c r="C2" s="966"/>
      <c r="D2" s="966"/>
      <c r="E2" s="966"/>
      <c r="F2" s="966"/>
      <c r="G2" s="966"/>
      <c r="H2" s="966"/>
      <c r="I2" s="966"/>
      <c r="J2" s="966"/>
    </row>
    <row r="3" spans="1:10" ht="29.25" customHeight="1">
      <c r="A3" s="967" t="s">
        <v>561</v>
      </c>
      <c r="B3" s="968"/>
      <c r="C3" s="968"/>
      <c r="D3" s="968"/>
      <c r="E3" s="968"/>
      <c r="F3" s="968"/>
      <c r="G3" s="968"/>
      <c r="H3" s="968"/>
      <c r="I3" s="968"/>
      <c r="J3" s="968"/>
    </row>
    <row r="4" spans="1:10" ht="16.5">
      <c r="A4" s="491"/>
      <c r="B4" s="411"/>
      <c r="C4" s="412"/>
      <c r="D4" s="491"/>
      <c r="E4" s="491"/>
      <c r="F4" s="384"/>
      <c r="G4" s="384"/>
      <c r="H4" s="384"/>
      <c r="I4" s="384"/>
      <c r="J4" s="384"/>
    </row>
    <row r="5" spans="1:10" ht="32.25" customHeight="1">
      <c r="A5" s="969" t="s">
        <v>0</v>
      </c>
      <c r="B5" s="969" t="s">
        <v>287</v>
      </c>
      <c r="C5" s="969" t="s">
        <v>184</v>
      </c>
      <c r="D5" s="961" t="s">
        <v>563</v>
      </c>
      <c r="E5" s="961" t="s">
        <v>554</v>
      </c>
      <c r="F5" s="971" t="s">
        <v>562</v>
      </c>
      <c r="G5" s="972"/>
      <c r="H5" s="972"/>
      <c r="I5" s="972"/>
      <c r="J5" s="973"/>
    </row>
    <row r="6" spans="1:10" s="388" customFormat="1" ht="32.25" customHeight="1">
      <c r="A6" s="970"/>
      <c r="B6" s="970"/>
      <c r="C6" s="970"/>
      <c r="D6" s="961"/>
      <c r="E6" s="961"/>
      <c r="F6" s="368" t="s">
        <v>555</v>
      </c>
      <c r="G6" s="368" t="s">
        <v>556</v>
      </c>
      <c r="H6" s="368" t="s">
        <v>557</v>
      </c>
      <c r="I6" s="368" t="s">
        <v>558</v>
      </c>
      <c r="J6" s="368" t="s">
        <v>559</v>
      </c>
    </row>
    <row r="7" spans="1:10" ht="23.25" customHeight="1">
      <c r="A7" s="389">
        <v>1</v>
      </c>
      <c r="B7" s="390" t="s">
        <v>345</v>
      </c>
      <c r="C7" s="391" t="s">
        <v>5</v>
      </c>
      <c r="D7" s="592">
        <f>'BM1CTTH(21-25)'!D11</f>
        <v>4.25</v>
      </c>
      <c r="E7" s="592">
        <f>'BM1CTTH(21-25)'!E11</f>
        <v>4.782903254988241</v>
      </c>
      <c r="F7" s="592">
        <f>'BM1CTTH(21-25)'!F11</f>
        <v>4.767880807545708</v>
      </c>
      <c r="G7" s="592">
        <f>'BM1CTTH(21-25)'!G11</f>
        <v>4.737243099164786</v>
      </c>
      <c r="H7" s="592">
        <f>'BM1CTTH(21-25)'!H11</f>
        <v>5.17904426008613</v>
      </c>
      <c r="I7" s="592">
        <f>'BM1CTTH(21-25)'!I11</f>
        <v>5.61961615581545</v>
      </c>
      <c r="J7" s="592">
        <f>'BM1CTTH(21-25)'!J11</f>
        <v>3.6107319523291324</v>
      </c>
    </row>
    <row r="8" spans="1:10" s="393" customFormat="1" ht="23.25" customHeight="1">
      <c r="A8" s="389">
        <v>2</v>
      </c>
      <c r="B8" s="390" t="s">
        <v>346</v>
      </c>
      <c r="C8" s="391" t="s">
        <v>347</v>
      </c>
      <c r="D8" s="592">
        <f>'BM1CTTH(21-25)'!D10</f>
        <v>725.5645464322</v>
      </c>
      <c r="E8" s="592">
        <f>'BM1CTTH(21-25)'!E10</f>
        <v>895.4409867264</v>
      </c>
      <c r="F8" s="592">
        <f>'BM1CTTH(21-25)'!F10</f>
        <v>824.7327577169999</v>
      </c>
      <c r="G8" s="592">
        <f>'BM1CTTH(21-25)'!G10</f>
        <v>863.8023533684999</v>
      </c>
      <c r="H8" s="592">
        <f>'BM1CTTH(21-25)'!H10</f>
        <v>908.53905956912</v>
      </c>
      <c r="I8" s="592">
        <f>'BM1CTTH(21-25)'!I10</f>
        <v>959.5954673425601</v>
      </c>
      <c r="J8" s="592">
        <f>'BM1CTTH(21-25)'!J10</f>
        <v>994.243887495</v>
      </c>
    </row>
    <row r="9" spans="1:10" s="393" customFormat="1" ht="23.25" customHeight="1">
      <c r="A9" s="389">
        <v>3</v>
      </c>
      <c r="B9" s="394" t="s">
        <v>348</v>
      </c>
      <c r="C9" s="387"/>
      <c r="D9" s="712"/>
      <c r="E9" s="712"/>
      <c r="F9" s="591"/>
      <c r="G9" s="730"/>
      <c r="H9" s="730"/>
      <c r="I9" s="730"/>
      <c r="J9" s="730"/>
    </row>
    <row r="10" spans="1:11" ht="23.25" customHeight="1">
      <c r="A10" s="395"/>
      <c r="B10" s="583" t="s">
        <v>349</v>
      </c>
      <c r="C10" s="391" t="s">
        <v>361</v>
      </c>
      <c r="D10" s="505">
        <f>D11+D12</f>
        <v>185210.5</v>
      </c>
      <c r="E10" s="505">
        <f aca="true" t="shared" si="0" ref="E10:E15">F10+G10+H10+I10+J10</f>
        <v>187552</v>
      </c>
      <c r="F10" s="505">
        <f>F11+F12</f>
        <v>37510</v>
      </c>
      <c r="G10" s="505">
        <f>G11+G12</f>
        <v>37501</v>
      </c>
      <c r="H10" s="505">
        <f>H11+H12</f>
        <v>37511</v>
      </c>
      <c r="I10" s="505">
        <f>I11+I12</f>
        <v>37510</v>
      </c>
      <c r="J10" s="505">
        <f>J11+J12</f>
        <v>37520</v>
      </c>
      <c r="K10" s="867"/>
    </row>
    <row r="11" spans="1:11" ht="23.25" customHeight="1">
      <c r="A11" s="395"/>
      <c r="B11" s="583" t="s">
        <v>350</v>
      </c>
      <c r="C11" s="391" t="s">
        <v>361</v>
      </c>
      <c r="D11" s="505">
        <f>'[6]BM2'!K11</f>
        <v>94507.2</v>
      </c>
      <c r="E11" s="505">
        <f t="shared" si="0"/>
        <v>95514</v>
      </c>
      <c r="F11" s="505">
        <v>19095</v>
      </c>
      <c r="G11" s="505">
        <v>19217</v>
      </c>
      <c r="H11" s="505">
        <v>19192</v>
      </c>
      <c r="I11" s="505">
        <v>18940</v>
      </c>
      <c r="J11" s="505">
        <v>19070</v>
      </c>
      <c r="K11" s="868"/>
    </row>
    <row r="12" spans="1:11" ht="23.25" customHeight="1">
      <c r="A12" s="395"/>
      <c r="B12" s="583" t="s">
        <v>351</v>
      </c>
      <c r="C12" s="391" t="s">
        <v>361</v>
      </c>
      <c r="D12" s="505">
        <f>'[6]BM2'!K12</f>
        <v>90703.3</v>
      </c>
      <c r="E12" s="505">
        <f t="shared" si="0"/>
        <v>92038</v>
      </c>
      <c r="F12" s="505">
        <v>18415</v>
      </c>
      <c r="G12" s="505">
        <v>18284</v>
      </c>
      <c r="H12" s="505">
        <v>18319</v>
      </c>
      <c r="I12" s="505">
        <v>18570</v>
      </c>
      <c r="J12" s="505">
        <v>18450</v>
      </c>
      <c r="K12" s="396"/>
    </row>
    <row r="13" spans="1:11" ht="23.25" customHeight="1">
      <c r="A13" s="395"/>
      <c r="B13" s="583" t="s">
        <v>352</v>
      </c>
      <c r="C13" s="391" t="s">
        <v>361</v>
      </c>
      <c r="D13" s="505">
        <v>2224</v>
      </c>
      <c r="E13" s="505">
        <f t="shared" si="0"/>
        <v>2000</v>
      </c>
      <c r="F13" s="505">
        <v>400</v>
      </c>
      <c r="G13" s="505">
        <v>400</v>
      </c>
      <c r="H13" s="505">
        <v>400</v>
      </c>
      <c r="I13" s="505">
        <v>400</v>
      </c>
      <c r="J13" s="505">
        <v>400</v>
      </c>
      <c r="K13" s="869"/>
    </row>
    <row r="14" spans="1:11" ht="23.25" customHeight="1">
      <c r="A14" s="395"/>
      <c r="B14" s="583" t="s">
        <v>353</v>
      </c>
      <c r="C14" s="391" t="s">
        <v>361</v>
      </c>
      <c r="D14" s="505">
        <v>816.8</v>
      </c>
      <c r="E14" s="505">
        <f t="shared" si="0"/>
        <v>5300</v>
      </c>
      <c r="F14" s="505">
        <v>800</v>
      </c>
      <c r="G14" s="505">
        <v>1000</v>
      </c>
      <c r="H14" s="505">
        <v>1100</v>
      </c>
      <c r="I14" s="505">
        <v>1200</v>
      </c>
      <c r="J14" s="505">
        <v>1200</v>
      </c>
      <c r="K14" s="396"/>
    </row>
    <row r="15" spans="1:11" ht="23.25" customHeight="1">
      <c r="A15" s="395"/>
      <c r="B15" s="583" t="s">
        <v>471</v>
      </c>
      <c r="C15" s="391" t="s">
        <v>361</v>
      </c>
      <c r="D15" s="505">
        <v>0</v>
      </c>
      <c r="E15" s="505">
        <f t="shared" si="0"/>
        <v>7560</v>
      </c>
      <c r="F15" s="505"/>
      <c r="G15" s="505">
        <v>840</v>
      </c>
      <c r="H15" s="505">
        <v>1680</v>
      </c>
      <c r="I15" s="505">
        <v>2240</v>
      </c>
      <c r="J15" s="505">
        <v>2800</v>
      </c>
      <c r="K15" s="396"/>
    </row>
    <row r="16" spans="1:10" ht="23.25" customHeight="1">
      <c r="A16" s="395"/>
      <c r="B16" s="585" t="s">
        <v>354</v>
      </c>
      <c r="C16" s="391" t="s">
        <v>361</v>
      </c>
      <c r="D16" s="505">
        <v>15371</v>
      </c>
      <c r="E16" s="505">
        <f aca="true" t="shared" si="1" ref="E16:E22">F16+G16+H16+I16+J16</f>
        <v>19957</v>
      </c>
      <c r="F16" s="505">
        <v>3539</v>
      </c>
      <c r="G16" s="505">
        <v>3649</v>
      </c>
      <c r="H16" s="505">
        <v>3805</v>
      </c>
      <c r="I16" s="505">
        <v>4409</v>
      </c>
      <c r="J16" s="505">
        <v>4555</v>
      </c>
    </row>
    <row r="17" spans="1:10" ht="23.25" customHeight="1">
      <c r="A17" s="395"/>
      <c r="B17" s="585" t="s">
        <v>355</v>
      </c>
      <c r="C17" s="391" t="s">
        <v>641</v>
      </c>
      <c r="D17" s="505">
        <v>2328.1</v>
      </c>
      <c r="E17" s="505">
        <f>F17+G17+H17+I17+J17</f>
        <v>250</v>
      </c>
      <c r="F17" s="505">
        <v>50</v>
      </c>
      <c r="G17" s="505">
        <v>50</v>
      </c>
      <c r="H17" s="505">
        <v>50</v>
      </c>
      <c r="I17" s="505">
        <v>50</v>
      </c>
      <c r="J17" s="505">
        <v>50</v>
      </c>
    </row>
    <row r="18" spans="1:10" ht="23.25" customHeight="1">
      <c r="A18" s="395"/>
      <c r="B18" s="585" t="s">
        <v>356</v>
      </c>
      <c r="C18" s="391" t="s">
        <v>303</v>
      </c>
      <c r="D18" s="652">
        <v>38</v>
      </c>
      <c r="E18" s="505">
        <v>43</v>
      </c>
      <c r="F18" s="652">
        <v>39</v>
      </c>
      <c r="G18" s="652">
        <v>40</v>
      </c>
      <c r="H18" s="652">
        <v>41</v>
      </c>
      <c r="I18" s="652">
        <v>42</v>
      </c>
      <c r="J18" s="652">
        <v>43</v>
      </c>
    </row>
    <row r="19" spans="1:10" ht="23.25" customHeight="1">
      <c r="A19" s="395"/>
      <c r="B19" s="585" t="s">
        <v>357</v>
      </c>
      <c r="C19" s="391" t="s">
        <v>642</v>
      </c>
      <c r="D19" s="505">
        <f aca="true" t="shared" si="2" ref="D19:J19">D20+D21</f>
        <v>1460.2</v>
      </c>
      <c r="E19" s="505">
        <f t="shared" si="2"/>
        <v>2011.7</v>
      </c>
      <c r="F19" s="505">
        <f t="shared" si="2"/>
        <v>397.5</v>
      </c>
      <c r="G19" s="505">
        <f t="shared" si="2"/>
        <v>403</v>
      </c>
      <c r="H19" s="505">
        <f t="shared" si="2"/>
        <v>403.5</v>
      </c>
      <c r="I19" s="505">
        <f t="shared" si="2"/>
        <v>403.7</v>
      </c>
      <c r="J19" s="505">
        <f t="shared" si="2"/>
        <v>404</v>
      </c>
    </row>
    <row r="20" spans="1:10" ht="23.25" customHeight="1">
      <c r="A20" s="395"/>
      <c r="B20" s="870" t="s">
        <v>514</v>
      </c>
      <c r="C20" s="391" t="s">
        <v>361</v>
      </c>
      <c r="D20" s="505">
        <v>1389.5</v>
      </c>
      <c r="E20" s="505">
        <f t="shared" si="1"/>
        <v>1937.5</v>
      </c>
      <c r="F20" s="505">
        <v>383.5</v>
      </c>
      <c r="G20" s="505">
        <v>388.5</v>
      </c>
      <c r="H20" s="505">
        <v>388.5</v>
      </c>
      <c r="I20" s="505">
        <v>388.5</v>
      </c>
      <c r="J20" s="505">
        <v>388.5</v>
      </c>
    </row>
    <row r="21" spans="1:10" ht="23.25" customHeight="1">
      <c r="A21" s="395"/>
      <c r="B21" s="870" t="s">
        <v>515</v>
      </c>
      <c r="C21" s="391" t="s">
        <v>361</v>
      </c>
      <c r="D21" s="505">
        <v>70.7</v>
      </c>
      <c r="E21" s="505">
        <f t="shared" si="1"/>
        <v>74.2</v>
      </c>
      <c r="F21" s="505">
        <v>14</v>
      </c>
      <c r="G21" s="505">
        <v>14.5</v>
      </c>
      <c r="H21" s="505">
        <v>15</v>
      </c>
      <c r="I21" s="505">
        <v>15.2</v>
      </c>
      <c r="J21" s="505">
        <v>15.5</v>
      </c>
    </row>
    <row r="22" spans="1:10" ht="23.25" customHeight="1">
      <c r="A22" s="395"/>
      <c r="B22" s="585" t="s">
        <v>358</v>
      </c>
      <c r="C22" s="391" t="s">
        <v>641</v>
      </c>
      <c r="D22" s="505">
        <v>1320.2</v>
      </c>
      <c r="E22" s="505">
        <f t="shared" si="1"/>
        <v>1495</v>
      </c>
      <c r="F22" s="505">
        <v>295</v>
      </c>
      <c r="G22" s="505">
        <v>300</v>
      </c>
      <c r="H22" s="505">
        <v>300</v>
      </c>
      <c r="I22" s="505">
        <v>300</v>
      </c>
      <c r="J22" s="505">
        <v>300</v>
      </c>
    </row>
    <row r="23" spans="1:10" ht="16.5">
      <c r="A23" s="398"/>
      <c r="B23" s="399"/>
      <c r="C23" s="385"/>
      <c r="D23" s="400"/>
      <c r="E23" s="400"/>
      <c r="F23" s="401"/>
      <c r="G23" s="401"/>
      <c r="H23" s="401"/>
      <c r="I23" s="401"/>
      <c r="J23" s="401"/>
    </row>
    <row r="24" spans="1:11" ht="16.5">
      <c r="A24" s="398"/>
      <c r="B24" s="402"/>
      <c r="C24" s="385"/>
      <c r="D24" s="400"/>
      <c r="E24" s="400"/>
      <c r="F24" s="403"/>
      <c r="G24" s="401"/>
      <c r="H24" s="401"/>
      <c r="I24" s="401"/>
      <c r="J24" s="401"/>
      <c r="K24" s="396"/>
    </row>
    <row r="25" spans="1:10" ht="16.5">
      <c r="A25" s="398"/>
      <c r="B25" s="399"/>
      <c r="C25" s="385"/>
      <c r="D25" s="398"/>
      <c r="E25" s="398"/>
      <c r="F25" s="404"/>
      <c r="G25" s="404"/>
      <c r="H25" s="404"/>
      <c r="I25" s="404"/>
      <c r="J25" s="404"/>
    </row>
    <row r="26" spans="1:10" ht="16.5">
      <c r="A26" s="398"/>
      <c r="B26" s="399"/>
      <c r="C26" s="385"/>
      <c r="D26" s="398"/>
      <c r="E26" s="398"/>
      <c r="F26" s="404"/>
      <c r="G26" s="404"/>
      <c r="H26" s="404"/>
      <c r="I26" s="404"/>
      <c r="J26" s="404"/>
    </row>
    <row r="27" spans="1:10" ht="16.5">
      <c r="A27" s="398"/>
      <c r="B27" s="399"/>
      <c r="C27" s="385"/>
      <c r="D27" s="398"/>
      <c r="E27" s="398"/>
      <c r="F27" s="404"/>
      <c r="G27" s="404"/>
      <c r="H27" s="404"/>
      <c r="I27" s="404"/>
      <c r="J27" s="404"/>
    </row>
    <row r="28" spans="1:10" ht="16.5">
      <c r="A28" s="398"/>
      <c r="B28" s="399"/>
      <c r="C28" s="385"/>
      <c r="D28" s="398"/>
      <c r="E28" s="398"/>
      <c r="F28" s="404"/>
      <c r="G28" s="404"/>
      <c r="H28" s="404"/>
      <c r="I28" s="404"/>
      <c r="J28" s="404"/>
    </row>
    <row r="29" spans="1:10" ht="16.5">
      <c r="A29" s="398"/>
      <c r="B29" s="399"/>
      <c r="C29" s="385"/>
      <c r="D29" s="398"/>
      <c r="E29" s="398"/>
      <c r="F29" s="404"/>
      <c r="G29" s="404"/>
      <c r="H29" s="404"/>
      <c r="I29" s="404"/>
      <c r="J29" s="404"/>
    </row>
    <row r="30" spans="1:10" ht="16.5">
      <c r="A30" s="398"/>
      <c r="B30" s="399"/>
      <c r="C30" s="385"/>
      <c r="D30" s="398"/>
      <c r="E30" s="398"/>
      <c r="F30" s="386"/>
      <c r="G30" s="386"/>
      <c r="H30" s="386"/>
      <c r="I30" s="386"/>
      <c r="J30" s="386"/>
    </row>
    <row r="31" spans="1:10" ht="18.75">
      <c r="A31" s="398"/>
      <c r="B31" s="399"/>
      <c r="C31" s="530"/>
      <c r="D31" s="398"/>
      <c r="E31" s="398"/>
      <c r="F31" s="386"/>
      <c r="G31" s="386"/>
      <c r="H31" s="386"/>
      <c r="I31" s="386"/>
      <c r="J31" s="386"/>
    </row>
    <row r="32" spans="1:10" ht="18.75">
      <c r="A32" s="398"/>
      <c r="B32" s="399"/>
      <c r="C32" s="531"/>
      <c r="D32" s="398"/>
      <c r="E32" s="398"/>
      <c r="F32" s="386"/>
      <c r="G32" s="386"/>
      <c r="H32" s="386"/>
      <c r="I32" s="386"/>
      <c r="J32" s="386"/>
    </row>
    <row r="33" spans="1:10" ht="18.75">
      <c r="A33" s="398"/>
      <c r="B33" s="399"/>
      <c r="C33" s="531"/>
      <c r="D33" s="398"/>
      <c r="E33" s="398"/>
      <c r="F33" s="386"/>
      <c r="G33" s="386"/>
      <c r="H33" s="386"/>
      <c r="I33" s="386"/>
      <c r="J33" s="386"/>
    </row>
    <row r="34" spans="1:10" ht="16.5">
      <c r="A34" s="398"/>
      <c r="B34" s="399"/>
      <c r="C34" s="532"/>
      <c r="D34" s="398"/>
      <c r="E34" s="398"/>
      <c r="F34" s="386"/>
      <c r="G34" s="386"/>
      <c r="H34" s="386"/>
      <c r="I34" s="386"/>
      <c r="J34" s="386"/>
    </row>
    <row r="35" spans="1:10" ht="16.5">
      <c r="A35" s="398"/>
      <c r="B35" s="399"/>
      <c r="C35" s="532"/>
      <c r="D35" s="398"/>
      <c r="E35" s="398"/>
      <c r="F35" s="386"/>
      <c r="G35" s="386"/>
      <c r="H35" s="386"/>
      <c r="I35" s="386"/>
      <c r="J35" s="386"/>
    </row>
    <row r="36" spans="1:10" ht="16.5">
      <c r="A36" s="398"/>
      <c r="B36" s="399"/>
      <c r="C36" s="532"/>
      <c r="D36" s="398"/>
      <c r="E36" s="398"/>
      <c r="F36" s="386"/>
      <c r="G36" s="386"/>
      <c r="H36" s="386"/>
      <c r="I36" s="386"/>
      <c r="J36" s="386"/>
    </row>
    <row r="37" spans="1:10" ht="16.5">
      <c r="A37" s="398"/>
      <c r="B37" s="399"/>
      <c r="C37" s="470"/>
      <c r="D37" s="398"/>
      <c r="E37" s="398"/>
      <c r="F37" s="386"/>
      <c r="G37" s="386"/>
      <c r="H37" s="386"/>
      <c r="I37" s="386"/>
      <c r="J37" s="386"/>
    </row>
    <row r="38" spans="1:10" ht="16.5">
      <c r="A38" s="398"/>
      <c r="B38" s="399"/>
      <c r="C38" s="385"/>
      <c r="D38" s="398"/>
      <c r="E38" s="398"/>
      <c r="F38" s="386"/>
      <c r="G38" s="386"/>
      <c r="H38" s="386"/>
      <c r="I38" s="386"/>
      <c r="J38" s="386"/>
    </row>
    <row r="39" spans="1:10" ht="16.5">
      <c r="A39" s="398"/>
      <c r="B39" s="399"/>
      <c r="C39" s="385"/>
      <c r="D39" s="398"/>
      <c r="E39" s="398"/>
      <c r="F39" s="386"/>
      <c r="G39" s="386"/>
      <c r="H39" s="386"/>
      <c r="I39" s="386"/>
      <c r="J39" s="386"/>
    </row>
    <row r="40" spans="1:10" ht="16.5">
      <c r="A40" s="398"/>
      <c r="B40" s="399"/>
      <c r="C40" s="385"/>
      <c r="D40" s="398"/>
      <c r="E40" s="398"/>
      <c r="F40" s="386"/>
      <c r="G40" s="386"/>
      <c r="H40" s="386"/>
      <c r="I40" s="386"/>
      <c r="J40" s="386"/>
    </row>
    <row r="41" spans="1:10" ht="16.5">
      <c r="A41" s="398"/>
      <c r="B41" s="399"/>
      <c r="C41" s="385"/>
      <c r="D41" s="398"/>
      <c r="E41" s="398"/>
      <c r="F41" s="386"/>
      <c r="G41" s="386"/>
      <c r="H41" s="386"/>
      <c r="I41" s="386"/>
      <c r="J41" s="386"/>
    </row>
    <row r="42" spans="1:10" ht="16.5">
      <c r="A42" s="398"/>
      <c r="B42" s="399"/>
      <c r="C42" s="385"/>
      <c r="D42" s="398"/>
      <c r="E42" s="398"/>
      <c r="F42" s="386"/>
      <c r="G42" s="386"/>
      <c r="H42" s="386"/>
      <c r="I42" s="386"/>
      <c r="J42" s="386"/>
    </row>
    <row r="43" spans="1:10" ht="16.5">
      <c r="A43" s="398"/>
      <c r="B43" s="399"/>
      <c r="C43" s="385"/>
      <c r="D43" s="398"/>
      <c r="E43" s="398"/>
      <c r="F43" s="386"/>
      <c r="G43" s="386"/>
      <c r="H43" s="386"/>
      <c r="I43" s="386"/>
      <c r="J43" s="386"/>
    </row>
    <row r="44" spans="1:10" ht="16.5">
      <c r="A44" s="398"/>
      <c r="B44" s="399"/>
      <c r="C44" s="385"/>
      <c r="D44" s="398"/>
      <c r="E44" s="398"/>
      <c r="F44" s="386"/>
      <c r="G44" s="386"/>
      <c r="H44" s="386"/>
      <c r="I44" s="386"/>
      <c r="J44" s="386"/>
    </row>
    <row r="45" spans="1:10" ht="16.5">
      <c r="A45" s="398"/>
      <c r="B45" s="399"/>
      <c r="C45" s="385"/>
      <c r="D45" s="398"/>
      <c r="E45" s="398"/>
      <c r="F45" s="386"/>
      <c r="G45" s="386"/>
      <c r="H45" s="386"/>
      <c r="I45" s="386"/>
      <c r="J45" s="386"/>
    </row>
    <row r="46" spans="1:10" ht="16.5">
      <c r="A46" s="398"/>
      <c r="B46" s="399"/>
      <c r="C46" s="385"/>
      <c r="D46" s="398"/>
      <c r="E46" s="398"/>
      <c r="F46" s="386"/>
      <c r="G46" s="386"/>
      <c r="H46" s="386"/>
      <c r="I46" s="386"/>
      <c r="J46" s="386"/>
    </row>
    <row r="47" spans="1:10" ht="16.5">
      <c r="A47" s="398"/>
      <c r="B47" s="399"/>
      <c r="C47" s="385"/>
      <c r="D47" s="398"/>
      <c r="E47" s="398"/>
      <c r="F47" s="386"/>
      <c r="G47" s="386"/>
      <c r="H47" s="386"/>
      <c r="I47" s="386"/>
      <c r="J47" s="386"/>
    </row>
    <row r="48" spans="1:10" ht="16.5">
      <c r="A48" s="398"/>
      <c r="B48" s="399"/>
      <c r="C48" s="385"/>
      <c r="D48" s="398"/>
      <c r="E48" s="398"/>
      <c r="F48" s="386"/>
      <c r="G48" s="386"/>
      <c r="H48" s="386"/>
      <c r="I48" s="386"/>
      <c r="J48" s="386"/>
    </row>
    <row r="49" spans="1:10" ht="16.5">
      <c r="A49" s="398"/>
      <c r="B49" s="399"/>
      <c r="C49" s="385"/>
      <c r="D49" s="398"/>
      <c r="E49" s="398"/>
      <c r="F49" s="386"/>
      <c r="G49" s="386"/>
      <c r="H49" s="386"/>
      <c r="I49" s="386"/>
      <c r="J49" s="386"/>
    </row>
    <row r="50" spans="1:10" ht="16.5">
      <c r="A50" s="398"/>
      <c r="B50" s="399"/>
      <c r="C50" s="385"/>
      <c r="D50" s="398"/>
      <c r="E50" s="398"/>
      <c r="F50" s="386"/>
      <c r="G50" s="386"/>
      <c r="H50" s="386"/>
      <c r="I50" s="386"/>
      <c r="J50" s="386"/>
    </row>
    <row r="51" spans="1:10" ht="16.5">
      <c r="A51" s="398"/>
      <c r="B51" s="399"/>
      <c r="C51" s="385"/>
      <c r="D51" s="398"/>
      <c r="E51" s="398"/>
      <c r="F51" s="386"/>
      <c r="G51" s="386"/>
      <c r="H51" s="386"/>
      <c r="I51" s="386"/>
      <c r="J51" s="386"/>
    </row>
    <row r="52" spans="1:10" ht="16.5">
      <c r="A52" s="398"/>
      <c r="B52" s="399"/>
      <c r="C52" s="385"/>
      <c r="D52" s="398"/>
      <c r="E52" s="398"/>
      <c r="F52" s="386"/>
      <c r="G52" s="386"/>
      <c r="H52" s="386"/>
      <c r="I52" s="386"/>
      <c r="J52" s="386"/>
    </row>
    <row r="53" spans="1:10" ht="16.5">
      <c r="A53" s="398"/>
      <c r="B53" s="399"/>
      <c r="C53" s="385"/>
      <c r="D53" s="398"/>
      <c r="E53" s="398"/>
      <c r="F53" s="386"/>
      <c r="G53" s="386"/>
      <c r="H53" s="386"/>
      <c r="I53" s="386"/>
      <c r="J53" s="386"/>
    </row>
    <row r="54" spans="1:10" ht="16.5">
      <c r="A54" s="398"/>
      <c r="B54" s="399"/>
      <c r="C54" s="385"/>
      <c r="D54" s="398"/>
      <c r="E54" s="398"/>
      <c r="F54" s="386"/>
      <c r="G54" s="386"/>
      <c r="H54" s="386"/>
      <c r="I54" s="386"/>
      <c r="J54" s="386"/>
    </row>
    <row r="55" spans="1:10" ht="16.5">
      <c r="A55" s="398"/>
      <c r="B55" s="399"/>
      <c r="C55" s="385"/>
      <c r="D55" s="398"/>
      <c r="E55" s="398"/>
      <c r="F55" s="386"/>
      <c r="G55" s="386"/>
      <c r="H55" s="386"/>
      <c r="I55" s="386"/>
      <c r="J55" s="386"/>
    </row>
    <row r="56" spans="1:10" ht="16.5">
      <c r="A56" s="398"/>
      <c r="B56" s="399"/>
      <c r="C56" s="385"/>
      <c r="D56" s="398"/>
      <c r="E56" s="398"/>
      <c r="F56" s="386"/>
      <c r="G56" s="386"/>
      <c r="H56" s="386"/>
      <c r="I56" s="386"/>
      <c r="J56" s="386"/>
    </row>
    <row r="57" spans="1:10" ht="16.5">
      <c r="A57" s="398"/>
      <c r="B57" s="399"/>
      <c r="C57" s="385"/>
      <c r="D57" s="398"/>
      <c r="E57" s="398"/>
      <c r="F57" s="386"/>
      <c r="G57" s="386"/>
      <c r="H57" s="386"/>
      <c r="I57" s="386"/>
      <c r="J57" s="386"/>
    </row>
    <row r="58" spans="1:10" ht="16.5">
      <c r="A58" s="398"/>
      <c r="B58" s="399"/>
      <c r="C58" s="385"/>
      <c r="D58" s="398"/>
      <c r="E58" s="398"/>
      <c r="F58" s="386"/>
      <c r="G58" s="386"/>
      <c r="H58" s="386"/>
      <c r="I58" s="386"/>
      <c r="J58" s="386"/>
    </row>
    <row r="59" spans="1:10" ht="16.5">
      <c r="A59" s="398"/>
      <c r="B59" s="399"/>
      <c r="C59" s="385"/>
      <c r="D59" s="398"/>
      <c r="E59" s="398"/>
      <c r="F59" s="386"/>
      <c r="G59" s="386"/>
      <c r="H59" s="386"/>
      <c r="I59" s="386"/>
      <c r="J59" s="386"/>
    </row>
    <row r="60" spans="1:10" ht="16.5">
      <c r="A60" s="398"/>
      <c r="B60" s="399"/>
      <c r="C60" s="385"/>
      <c r="D60" s="398"/>
      <c r="E60" s="398"/>
      <c r="F60" s="386"/>
      <c r="G60" s="386"/>
      <c r="H60" s="386"/>
      <c r="I60" s="386"/>
      <c r="J60" s="386"/>
    </row>
    <row r="61" spans="1:10" ht="16.5">
      <c r="A61" s="398"/>
      <c r="B61" s="399"/>
      <c r="C61" s="385"/>
      <c r="D61" s="398"/>
      <c r="E61" s="398"/>
      <c r="F61" s="386"/>
      <c r="G61" s="386"/>
      <c r="H61" s="386"/>
      <c r="I61" s="386"/>
      <c r="J61" s="386"/>
    </row>
    <row r="62" spans="1:10" ht="16.5">
      <c r="A62" s="398"/>
      <c r="B62" s="399"/>
      <c r="C62" s="385"/>
      <c r="D62" s="398"/>
      <c r="E62" s="398"/>
      <c r="F62" s="386"/>
      <c r="G62" s="386"/>
      <c r="H62" s="386"/>
      <c r="I62" s="386"/>
      <c r="J62" s="386"/>
    </row>
    <row r="63" spans="1:10" ht="16.5">
      <c r="A63" s="398"/>
      <c r="B63" s="399"/>
      <c r="C63" s="385"/>
      <c r="D63" s="398"/>
      <c r="E63" s="398"/>
      <c r="F63" s="386"/>
      <c r="G63" s="386"/>
      <c r="H63" s="386"/>
      <c r="I63" s="386"/>
      <c r="J63" s="386"/>
    </row>
    <row r="64" spans="1:10" ht="16.5">
      <c r="A64" s="398"/>
      <c r="B64" s="399"/>
      <c r="C64" s="385"/>
      <c r="D64" s="398"/>
      <c r="E64" s="398"/>
      <c r="F64" s="386"/>
      <c r="G64" s="386"/>
      <c r="H64" s="386"/>
      <c r="I64" s="386"/>
      <c r="J64" s="386"/>
    </row>
    <row r="65" spans="1:10" ht="16.5">
      <c r="A65" s="398"/>
      <c r="B65" s="399"/>
      <c r="C65" s="385"/>
      <c r="D65" s="398"/>
      <c r="E65" s="398"/>
      <c r="F65" s="386"/>
      <c r="G65" s="386"/>
      <c r="H65" s="386"/>
      <c r="I65" s="386"/>
      <c r="J65" s="386"/>
    </row>
    <row r="66" spans="1:10" ht="16.5">
      <c r="A66" s="398"/>
      <c r="B66" s="399"/>
      <c r="C66" s="385"/>
      <c r="D66" s="398"/>
      <c r="E66" s="398"/>
      <c r="F66" s="386"/>
      <c r="G66" s="386"/>
      <c r="H66" s="386"/>
      <c r="I66" s="386"/>
      <c r="J66" s="386"/>
    </row>
    <row r="67" spans="1:10" ht="16.5">
      <c r="A67" s="398"/>
      <c r="B67" s="399"/>
      <c r="C67" s="385"/>
      <c r="D67" s="398"/>
      <c r="E67" s="398"/>
      <c r="F67" s="386"/>
      <c r="G67" s="386"/>
      <c r="H67" s="386"/>
      <c r="I67" s="386"/>
      <c r="J67" s="386"/>
    </row>
    <row r="68" spans="1:10" ht="16.5">
      <c r="A68" s="398"/>
      <c r="B68" s="399"/>
      <c r="C68" s="385"/>
      <c r="D68" s="398"/>
      <c r="E68" s="398"/>
      <c r="F68" s="386"/>
      <c r="G68" s="386"/>
      <c r="H68" s="386"/>
      <c r="I68" s="386"/>
      <c r="J68" s="386"/>
    </row>
    <row r="69" spans="1:10" ht="16.5">
      <c r="A69" s="398"/>
      <c r="B69" s="399"/>
      <c r="C69" s="385"/>
      <c r="D69" s="398"/>
      <c r="E69" s="398"/>
      <c r="F69" s="386"/>
      <c r="G69" s="386"/>
      <c r="H69" s="386"/>
      <c r="I69" s="386"/>
      <c r="J69" s="386"/>
    </row>
    <row r="70" spans="1:10" ht="16.5">
      <c r="A70" s="398"/>
      <c r="B70" s="399"/>
      <c r="C70" s="385"/>
      <c r="D70" s="398"/>
      <c r="E70" s="398"/>
      <c r="F70" s="386"/>
      <c r="G70" s="386"/>
      <c r="H70" s="386"/>
      <c r="I70" s="386"/>
      <c r="J70" s="386"/>
    </row>
    <row r="71" spans="1:10" ht="16.5">
      <c r="A71" s="398"/>
      <c r="B71" s="399"/>
      <c r="C71" s="385"/>
      <c r="D71" s="398"/>
      <c r="E71" s="398"/>
      <c r="F71" s="386"/>
      <c r="G71" s="386"/>
      <c r="H71" s="386"/>
      <c r="I71" s="386"/>
      <c r="J71" s="386"/>
    </row>
    <row r="72" spans="1:10" ht="16.5">
      <c r="A72" s="398"/>
      <c r="B72" s="399"/>
      <c r="C72" s="385"/>
      <c r="D72" s="398"/>
      <c r="E72" s="398"/>
      <c r="F72" s="386"/>
      <c r="G72" s="386"/>
      <c r="H72" s="386"/>
      <c r="I72" s="386"/>
      <c r="J72" s="386"/>
    </row>
    <row r="73" spans="1:10" ht="16.5">
      <c r="A73" s="398"/>
      <c r="B73" s="399"/>
      <c r="C73" s="385"/>
      <c r="D73" s="398"/>
      <c r="E73" s="398"/>
      <c r="F73" s="386"/>
      <c r="G73" s="386"/>
      <c r="H73" s="386"/>
      <c r="I73" s="386"/>
      <c r="J73" s="386"/>
    </row>
    <row r="74" spans="1:10" ht="16.5">
      <c r="A74" s="398"/>
      <c r="B74" s="399"/>
      <c r="C74" s="385"/>
      <c r="D74" s="398"/>
      <c r="E74" s="398"/>
      <c r="F74" s="386"/>
      <c r="G74" s="386"/>
      <c r="H74" s="386"/>
      <c r="I74" s="386"/>
      <c r="J74" s="386"/>
    </row>
    <row r="75" spans="1:10" ht="16.5">
      <c r="A75" s="398"/>
      <c r="B75" s="399"/>
      <c r="C75" s="385"/>
      <c r="D75" s="398"/>
      <c r="E75" s="398"/>
      <c r="F75" s="386"/>
      <c r="G75" s="386"/>
      <c r="H75" s="386"/>
      <c r="I75" s="386"/>
      <c r="J75" s="386"/>
    </row>
    <row r="76" spans="1:10" ht="16.5">
      <c r="A76" s="398"/>
      <c r="B76" s="399"/>
      <c r="C76" s="385"/>
      <c r="D76" s="398"/>
      <c r="E76" s="398"/>
      <c r="F76" s="386"/>
      <c r="G76" s="386"/>
      <c r="H76" s="386"/>
      <c r="I76" s="386"/>
      <c r="J76" s="386"/>
    </row>
    <row r="77" spans="1:10" ht="16.5">
      <c r="A77" s="398"/>
      <c r="B77" s="399"/>
      <c r="C77" s="385"/>
      <c r="D77" s="398"/>
      <c r="E77" s="398"/>
      <c r="F77" s="386"/>
      <c r="G77" s="386"/>
      <c r="H77" s="386"/>
      <c r="I77" s="386"/>
      <c r="J77" s="386"/>
    </row>
    <row r="78" spans="1:10" ht="16.5">
      <c r="A78" s="398"/>
      <c r="B78" s="399"/>
      <c r="C78" s="385"/>
      <c r="D78" s="398"/>
      <c r="E78" s="398"/>
      <c r="F78" s="386"/>
      <c r="G78" s="386"/>
      <c r="H78" s="386"/>
      <c r="I78" s="386"/>
      <c r="J78" s="386"/>
    </row>
    <row r="79" spans="1:10" ht="16.5">
      <c r="A79" s="398"/>
      <c r="B79" s="399"/>
      <c r="C79" s="385"/>
      <c r="D79" s="398"/>
      <c r="E79" s="398"/>
      <c r="F79" s="386"/>
      <c r="G79" s="386"/>
      <c r="H79" s="386"/>
      <c r="I79" s="386"/>
      <c r="J79" s="386"/>
    </row>
    <row r="80" spans="1:10" ht="16.5">
      <c r="A80" s="398"/>
      <c r="B80" s="399"/>
      <c r="C80" s="385"/>
      <c r="D80" s="398"/>
      <c r="E80" s="398"/>
      <c r="F80" s="386"/>
      <c r="G80" s="386"/>
      <c r="H80" s="386"/>
      <c r="I80" s="386"/>
      <c r="J80" s="386"/>
    </row>
    <row r="81" spans="1:10" ht="16.5">
      <c r="A81" s="398"/>
      <c r="B81" s="399"/>
      <c r="C81" s="385"/>
      <c r="D81" s="398"/>
      <c r="E81" s="398"/>
      <c r="F81" s="386"/>
      <c r="G81" s="386"/>
      <c r="H81" s="386"/>
      <c r="I81" s="386"/>
      <c r="J81" s="386"/>
    </row>
    <row r="82" spans="1:10" ht="16.5">
      <c r="A82" s="398"/>
      <c r="B82" s="399"/>
      <c r="C82" s="385"/>
      <c r="D82" s="398"/>
      <c r="E82" s="398"/>
      <c r="F82" s="386"/>
      <c r="G82" s="386"/>
      <c r="H82" s="386"/>
      <c r="I82" s="386"/>
      <c r="J82" s="386"/>
    </row>
    <row r="83" spans="1:10" ht="16.5">
      <c r="A83" s="398"/>
      <c r="B83" s="399"/>
      <c r="C83" s="385"/>
      <c r="D83" s="398"/>
      <c r="E83" s="398"/>
      <c r="F83" s="386"/>
      <c r="G83" s="386"/>
      <c r="H83" s="386"/>
      <c r="I83" s="386"/>
      <c r="J83" s="386"/>
    </row>
    <row r="84" spans="1:10" ht="16.5">
      <c r="A84" s="398"/>
      <c r="B84" s="399"/>
      <c r="C84" s="385"/>
      <c r="D84" s="398"/>
      <c r="E84" s="398"/>
      <c r="F84" s="386"/>
      <c r="G84" s="386"/>
      <c r="H84" s="386"/>
      <c r="I84" s="386"/>
      <c r="J84" s="386"/>
    </row>
    <row r="85" spans="1:10" ht="16.5">
      <c r="A85" s="398"/>
      <c r="B85" s="399"/>
      <c r="C85" s="385"/>
      <c r="D85" s="398"/>
      <c r="E85" s="398"/>
      <c r="F85" s="386"/>
      <c r="G85" s="386"/>
      <c r="H85" s="386"/>
      <c r="I85" s="386"/>
      <c r="J85" s="386"/>
    </row>
    <row r="86" spans="1:10" ht="16.5">
      <c r="A86" s="398"/>
      <c r="B86" s="399"/>
      <c r="C86" s="385"/>
      <c r="D86" s="398"/>
      <c r="E86" s="398"/>
      <c r="F86" s="386"/>
      <c r="G86" s="386"/>
      <c r="H86" s="386"/>
      <c r="I86" s="386"/>
      <c r="J86" s="386"/>
    </row>
    <row r="87" spans="1:10" ht="16.5">
      <c r="A87" s="398"/>
      <c r="B87" s="399"/>
      <c r="C87" s="385"/>
      <c r="D87" s="398"/>
      <c r="E87" s="398"/>
      <c r="F87" s="386"/>
      <c r="G87" s="386"/>
      <c r="H87" s="386"/>
      <c r="I87" s="386"/>
      <c r="J87" s="386"/>
    </row>
    <row r="88" spans="1:10" ht="16.5">
      <c r="A88" s="398"/>
      <c r="B88" s="399"/>
      <c r="C88" s="385"/>
      <c r="D88" s="398"/>
      <c r="E88" s="398"/>
      <c r="F88" s="386"/>
      <c r="G88" s="386"/>
      <c r="H88" s="386"/>
      <c r="I88" s="386"/>
      <c r="J88" s="386"/>
    </row>
    <row r="89" spans="1:10" ht="16.5">
      <c r="A89" s="398"/>
      <c r="B89" s="399"/>
      <c r="C89" s="385"/>
      <c r="D89" s="398"/>
      <c r="E89" s="398"/>
      <c r="F89" s="386"/>
      <c r="G89" s="386"/>
      <c r="H89" s="386"/>
      <c r="I89" s="386"/>
      <c r="J89" s="386"/>
    </row>
    <row r="90" spans="1:10" ht="16.5">
      <c r="A90" s="398"/>
      <c r="B90" s="399"/>
      <c r="C90" s="385"/>
      <c r="D90" s="398"/>
      <c r="E90" s="398"/>
      <c r="F90" s="386"/>
      <c r="G90" s="386"/>
      <c r="H90" s="386"/>
      <c r="I90" s="386"/>
      <c r="J90" s="386"/>
    </row>
    <row r="91" spans="1:10" ht="16.5">
      <c r="A91" s="398"/>
      <c r="B91" s="399"/>
      <c r="C91" s="385"/>
      <c r="D91" s="398"/>
      <c r="E91" s="398"/>
      <c r="F91" s="386"/>
      <c r="G91" s="386"/>
      <c r="H91" s="386"/>
      <c r="I91" s="386"/>
      <c r="J91" s="386"/>
    </row>
    <row r="92" spans="1:10" ht="16.5">
      <c r="A92" s="398"/>
      <c r="B92" s="399"/>
      <c r="C92" s="385"/>
      <c r="D92" s="398"/>
      <c r="E92" s="398"/>
      <c r="F92" s="386"/>
      <c r="G92" s="386"/>
      <c r="H92" s="386"/>
      <c r="I92" s="386"/>
      <c r="J92" s="386"/>
    </row>
    <row r="93" spans="1:10" ht="16.5">
      <c r="A93" s="398"/>
      <c r="B93" s="399"/>
      <c r="C93" s="385"/>
      <c r="D93" s="398"/>
      <c r="E93" s="398"/>
      <c r="F93" s="386"/>
      <c r="G93" s="386"/>
      <c r="H93" s="386"/>
      <c r="I93" s="386"/>
      <c r="J93" s="386"/>
    </row>
    <row r="94" spans="1:10" ht="16.5">
      <c r="A94" s="398"/>
      <c r="B94" s="399"/>
      <c r="C94" s="385"/>
      <c r="D94" s="398"/>
      <c r="E94" s="398"/>
      <c r="F94" s="386"/>
      <c r="G94" s="386"/>
      <c r="H94" s="386"/>
      <c r="I94" s="386"/>
      <c r="J94" s="386"/>
    </row>
    <row r="95" spans="1:10" ht="16.5">
      <c r="A95" s="398"/>
      <c r="B95" s="399"/>
      <c r="C95" s="385"/>
      <c r="D95" s="398"/>
      <c r="E95" s="398"/>
      <c r="F95" s="386"/>
      <c r="G95" s="386"/>
      <c r="H95" s="386"/>
      <c r="I95" s="386"/>
      <c r="J95" s="386"/>
    </row>
    <row r="96" spans="1:10" ht="16.5">
      <c r="A96" s="398"/>
      <c r="B96" s="399"/>
      <c r="C96" s="385"/>
      <c r="D96" s="398"/>
      <c r="E96" s="398"/>
      <c r="F96" s="386"/>
      <c r="G96" s="386"/>
      <c r="H96" s="386"/>
      <c r="I96" s="386"/>
      <c r="J96" s="386"/>
    </row>
    <row r="97" spans="1:10" ht="16.5">
      <c r="A97" s="398"/>
      <c r="B97" s="399"/>
      <c r="C97" s="385"/>
      <c r="D97" s="398"/>
      <c r="E97" s="398"/>
      <c r="F97" s="386"/>
      <c r="G97" s="386"/>
      <c r="H97" s="386"/>
      <c r="I97" s="386"/>
      <c r="J97" s="386"/>
    </row>
    <row r="98" spans="1:10" ht="16.5">
      <c r="A98" s="398"/>
      <c r="B98" s="399"/>
      <c r="C98" s="385"/>
      <c r="D98" s="398"/>
      <c r="E98" s="398"/>
      <c r="F98" s="386"/>
      <c r="G98" s="386"/>
      <c r="H98" s="386"/>
      <c r="I98" s="386"/>
      <c r="J98" s="386"/>
    </row>
    <row r="99" spans="1:10" ht="16.5">
      <c r="A99" s="398"/>
      <c r="B99" s="399"/>
      <c r="C99" s="385"/>
      <c r="D99" s="398"/>
      <c r="E99" s="398"/>
      <c r="F99" s="386"/>
      <c r="G99" s="386"/>
      <c r="H99" s="386"/>
      <c r="I99" s="386"/>
      <c r="J99" s="386"/>
    </row>
    <row r="100" spans="1:10" ht="16.5">
      <c r="A100" s="398"/>
      <c r="B100" s="399"/>
      <c r="C100" s="385"/>
      <c r="D100" s="398"/>
      <c r="E100" s="398"/>
      <c r="F100" s="386"/>
      <c r="G100" s="386"/>
      <c r="H100" s="386"/>
      <c r="I100" s="386"/>
      <c r="J100" s="386"/>
    </row>
    <row r="101" spans="1:10" ht="16.5">
      <c r="A101" s="398"/>
      <c r="B101" s="399"/>
      <c r="C101" s="385"/>
      <c r="D101" s="398"/>
      <c r="E101" s="398"/>
      <c r="F101" s="386"/>
      <c r="G101" s="386"/>
      <c r="H101" s="386"/>
      <c r="I101" s="386"/>
      <c r="J101" s="386"/>
    </row>
    <row r="102" spans="1:10" ht="16.5">
      <c r="A102" s="398"/>
      <c r="B102" s="399"/>
      <c r="C102" s="385"/>
      <c r="D102" s="398"/>
      <c r="E102" s="398"/>
      <c r="F102" s="386"/>
      <c r="G102" s="386"/>
      <c r="H102" s="386"/>
      <c r="I102" s="386"/>
      <c r="J102" s="386"/>
    </row>
    <row r="103" spans="1:10" ht="16.5">
      <c r="A103" s="398"/>
      <c r="B103" s="399"/>
      <c r="C103" s="385"/>
      <c r="D103" s="398"/>
      <c r="E103" s="398"/>
      <c r="F103" s="386"/>
      <c r="G103" s="386"/>
      <c r="H103" s="386"/>
      <c r="I103" s="386"/>
      <c r="J103" s="386"/>
    </row>
    <row r="104" spans="1:10" ht="16.5">
      <c r="A104" s="398"/>
      <c r="B104" s="399"/>
      <c r="C104" s="385"/>
      <c r="D104" s="398"/>
      <c r="E104" s="398"/>
      <c r="F104" s="386"/>
      <c r="G104" s="386"/>
      <c r="H104" s="386"/>
      <c r="I104" s="386"/>
      <c r="J104" s="386"/>
    </row>
    <row r="105" spans="1:10" ht="16.5">
      <c r="A105" s="398"/>
      <c r="B105" s="399"/>
      <c r="C105" s="385"/>
      <c r="D105" s="398"/>
      <c r="E105" s="398"/>
      <c r="F105" s="386"/>
      <c r="G105" s="386"/>
      <c r="H105" s="386"/>
      <c r="I105" s="386"/>
      <c r="J105" s="386"/>
    </row>
    <row r="106" spans="1:10" ht="16.5">
      <c r="A106" s="398"/>
      <c r="B106" s="399"/>
      <c r="C106" s="385"/>
      <c r="D106" s="398"/>
      <c r="E106" s="398"/>
      <c r="F106" s="386"/>
      <c r="G106" s="386"/>
      <c r="H106" s="386"/>
      <c r="I106" s="386"/>
      <c r="J106" s="386"/>
    </row>
    <row r="107" spans="1:10" ht="16.5">
      <c r="A107" s="398"/>
      <c r="B107" s="399"/>
      <c r="C107" s="385"/>
      <c r="D107" s="398"/>
      <c r="E107" s="398"/>
      <c r="F107" s="386"/>
      <c r="G107" s="386"/>
      <c r="H107" s="386"/>
      <c r="I107" s="386"/>
      <c r="J107" s="386"/>
    </row>
    <row r="108" spans="1:10" ht="16.5">
      <c r="A108" s="398"/>
      <c r="B108" s="399"/>
      <c r="C108" s="385"/>
      <c r="D108" s="398"/>
      <c r="E108" s="398"/>
      <c r="F108" s="386"/>
      <c r="G108" s="386"/>
      <c r="H108" s="386"/>
      <c r="I108" s="386"/>
      <c r="J108" s="386"/>
    </row>
    <row r="109" spans="1:10" ht="16.5">
      <c r="A109" s="398"/>
      <c r="B109" s="399"/>
      <c r="C109" s="385"/>
      <c r="D109" s="398"/>
      <c r="E109" s="398"/>
      <c r="F109" s="386"/>
      <c r="G109" s="386"/>
      <c r="H109" s="386"/>
      <c r="I109" s="386"/>
      <c r="J109" s="386"/>
    </row>
    <row r="110" spans="1:10" ht="16.5">
      <c r="A110" s="398"/>
      <c r="B110" s="399"/>
      <c r="C110" s="385"/>
      <c r="D110" s="398"/>
      <c r="E110" s="398"/>
      <c r="F110" s="386"/>
      <c r="G110" s="386"/>
      <c r="H110" s="386"/>
      <c r="I110" s="386"/>
      <c r="J110" s="386"/>
    </row>
    <row r="111" spans="1:10" ht="16.5">
      <c r="A111" s="398"/>
      <c r="B111" s="399"/>
      <c r="C111" s="385"/>
      <c r="D111" s="398"/>
      <c r="E111" s="398"/>
      <c r="F111" s="386"/>
      <c r="G111" s="386"/>
      <c r="H111" s="386"/>
      <c r="I111" s="386"/>
      <c r="J111" s="386"/>
    </row>
    <row r="112" spans="1:10" ht="16.5">
      <c r="A112" s="398"/>
      <c r="B112" s="399"/>
      <c r="C112" s="385"/>
      <c r="D112" s="398"/>
      <c r="E112" s="398"/>
      <c r="F112" s="386"/>
      <c r="G112" s="386"/>
      <c r="H112" s="386"/>
      <c r="I112" s="386"/>
      <c r="J112" s="386"/>
    </row>
    <row r="113" spans="1:10" ht="16.5">
      <c r="A113" s="398"/>
      <c r="B113" s="399"/>
      <c r="C113" s="385"/>
      <c r="D113" s="398"/>
      <c r="E113" s="398"/>
      <c r="F113" s="386"/>
      <c r="G113" s="386"/>
      <c r="H113" s="386"/>
      <c r="I113" s="386"/>
      <c r="J113" s="386"/>
    </row>
    <row r="114" spans="1:10" ht="16.5">
      <c r="A114" s="398"/>
      <c r="B114" s="399"/>
      <c r="C114" s="385"/>
      <c r="D114" s="398"/>
      <c r="E114" s="398"/>
      <c r="F114" s="386"/>
      <c r="G114" s="386"/>
      <c r="H114" s="386"/>
      <c r="I114" s="386"/>
      <c r="J114" s="386"/>
    </row>
    <row r="115" spans="1:10" ht="16.5">
      <c r="A115" s="398"/>
      <c r="B115" s="399"/>
      <c r="C115" s="385"/>
      <c r="D115" s="398"/>
      <c r="E115" s="398"/>
      <c r="F115" s="386"/>
      <c r="G115" s="386"/>
      <c r="H115" s="386"/>
      <c r="I115" s="386"/>
      <c r="J115" s="386"/>
    </row>
    <row r="116" spans="1:10" ht="16.5">
      <c r="A116" s="398"/>
      <c r="B116" s="399"/>
      <c r="C116" s="385"/>
      <c r="D116" s="398"/>
      <c r="E116" s="398"/>
      <c r="F116" s="386"/>
      <c r="G116" s="386"/>
      <c r="H116" s="386"/>
      <c r="I116" s="386"/>
      <c r="J116" s="386"/>
    </row>
    <row r="117" spans="1:10" ht="16.5">
      <c r="A117" s="398"/>
      <c r="B117" s="399"/>
      <c r="C117" s="385"/>
      <c r="D117" s="398"/>
      <c r="E117" s="398"/>
      <c r="F117" s="386"/>
      <c r="G117" s="386"/>
      <c r="H117" s="386"/>
      <c r="I117" s="386"/>
      <c r="J117" s="386"/>
    </row>
    <row r="118" spans="1:10" ht="16.5">
      <c r="A118" s="398"/>
      <c r="B118" s="399"/>
      <c r="C118" s="385"/>
      <c r="D118" s="398"/>
      <c r="E118" s="398"/>
      <c r="F118" s="386"/>
      <c r="G118" s="386"/>
      <c r="H118" s="386"/>
      <c r="I118" s="386"/>
      <c r="J118" s="386"/>
    </row>
    <row r="119" spans="1:10" ht="16.5">
      <c r="A119" s="398"/>
      <c r="B119" s="399"/>
      <c r="C119" s="385"/>
      <c r="D119" s="398"/>
      <c r="E119" s="398"/>
      <c r="F119" s="386"/>
      <c r="G119" s="386"/>
      <c r="H119" s="386"/>
      <c r="I119" s="386"/>
      <c r="J119" s="386"/>
    </row>
    <row r="120" spans="1:10" ht="16.5">
      <c r="A120" s="398"/>
      <c r="B120" s="399"/>
      <c r="C120" s="385"/>
      <c r="D120" s="398"/>
      <c r="E120" s="398"/>
      <c r="F120" s="386"/>
      <c r="G120" s="386"/>
      <c r="H120" s="386"/>
      <c r="I120" s="386"/>
      <c r="J120" s="386"/>
    </row>
    <row r="121" spans="1:10" ht="16.5">
      <c r="A121" s="398"/>
      <c r="B121" s="399"/>
      <c r="C121" s="385"/>
      <c r="D121" s="398"/>
      <c r="E121" s="398"/>
      <c r="F121" s="386"/>
      <c r="G121" s="386"/>
      <c r="H121" s="386"/>
      <c r="I121" s="386"/>
      <c r="J121" s="386"/>
    </row>
    <row r="122" spans="1:10" ht="16.5">
      <c r="A122" s="398"/>
      <c r="B122" s="399"/>
      <c r="C122" s="385"/>
      <c r="D122" s="398"/>
      <c r="E122" s="398"/>
      <c r="F122" s="386"/>
      <c r="G122" s="386"/>
      <c r="H122" s="386"/>
      <c r="I122" s="386"/>
      <c r="J122" s="386"/>
    </row>
    <row r="123" spans="1:10" ht="16.5">
      <c r="A123" s="398"/>
      <c r="B123" s="399"/>
      <c r="C123" s="385"/>
      <c r="D123" s="398"/>
      <c r="E123" s="398"/>
      <c r="F123" s="386"/>
      <c r="G123" s="386"/>
      <c r="H123" s="386"/>
      <c r="I123" s="386"/>
      <c r="J123" s="386"/>
    </row>
    <row r="124" spans="1:10" ht="16.5">
      <c r="A124" s="398"/>
      <c r="B124" s="399"/>
      <c r="C124" s="385"/>
      <c r="D124" s="398"/>
      <c r="E124" s="398"/>
      <c r="F124" s="386"/>
      <c r="G124" s="386"/>
      <c r="H124" s="386"/>
      <c r="I124" s="386"/>
      <c r="J124" s="386"/>
    </row>
    <row r="125" spans="1:10" ht="16.5">
      <c r="A125" s="398"/>
      <c r="B125" s="399"/>
      <c r="C125" s="385"/>
      <c r="D125" s="398"/>
      <c r="E125" s="398"/>
      <c r="F125" s="386"/>
      <c r="G125" s="386"/>
      <c r="H125" s="386"/>
      <c r="I125" s="386"/>
      <c r="J125" s="386"/>
    </row>
    <row r="126" spans="1:10" ht="16.5">
      <c r="A126" s="398"/>
      <c r="B126" s="399"/>
      <c r="C126" s="385"/>
      <c r="D126" s="398"/>
      <c r="E126" s="398"/>
      <c r="F126" s="386"/>
      <c r="G126" s="386"/>
      <c r="H126" s="386"/>
      <c r="I126" s="386"/>
      <c r="J126" s="386"/>
    </row>
    <row r="127" spans="1:10" ht="16.5">
      <c r="A127" s="398"/>
      <c r="B127" s="399"/>
      <c r="C127" s="385"/>
      <c r="D127" s="398"/>
      <c r="E127" s="398"/>
      <c r="F127" s="386"/>
      <c r="G127" s="386"/>
      <c r="H127" s="386"/>
      <c r="I127" s="386"/>
      <c r="J127" s="386"/>
    </row>
    <row r="128" spans="1:10" ht="16.5">
      <c r="A128" s="398"/>
      <c r="B128" s="399"/>
      <c r="C128" s="385"/>
      <c r="D128" s="398"/>
      <c r="E128" s="398"/>
      <c r="F128" s="386"/>
      <c r="G128" s="386"/>
      <c r="H128" s="386"/>
      <c r="I128" s="386"/>
      <c r="J128" s="386"/>
    </row>
    <row r="129" spans="1:10" ht="16.5">
      <c r="A129" s="398"/>
      <c r="B129" s="399"/>
      <c r="C129" s="385"/>
      <c r="D129" s="398"/>
      <c r="E129" s="398"/>
      <c r="F129" s="386"/>
      <c r="G129" s="386"/>
      <c r="H129" s="386"/>
      <c r="I129" s="386"/>
      <c r="J129" s="386"/>
    </row>
    <row r="130" spans="1:10" ht="16.5">
      <c r="A130" s="398"/>
      <c r="B130" s="399"/>
      <c r="C130" s="385"/>
      <c r="D130" s="398"/>
      <c r="E130" s="398"/>
      <c r="F130" s="386"/>
      <c r="G130" s="386"/>
      <c r="H130" s="386"/>
      <c r="I130" s="386"/>
      <c r="J130" s="386"/>
    </row>
    <row r="131" spans="1:10" ht="16.5">
      <c r="A131" s="398"/>
      <c r="B131" s="399"/>
      <c r="C131" s="385"/>
      <c r="D131" s="398"/>
      <c r="E131" s="398"/>
      <c r="F131" s="386"/>
      <c r="G131" s="386"/>
      <c r="H131" s="386"/>
      <c r="I131" s="386"/>
      <c r="J131" s="386"/>
    </row>
    <row r="132" spans="1:10" ht="16.5">
      <c r="A132" s="398"/>
      <c r="B132" s="399"/>
      <c r="C132" s="385"/>
      <c r="D132" s="398"/>
      <c r="E132" s="398"/>
      <c r="F132" s="386"/>
      <c r="G132" s="386"/>
      <c r="H132" s="386"/>
      <c r="I132" s="386"/>
      <c r="J132" s="386"/>
    </row>
    <row r="133" spans="1:10" ht="16.5">
      <c r="A133" s="398"/>
      <c r="B133" s="399"/>
      <c r="C133" s="385"/>
      <c r="D133" s="398"/>
      <c r="E133" s="398"/>
      <c r="F133" s="386"/>
      <c r="G133" s="386"/>
      <c r="H133" s="386"/>
      <c r="I133" s="386"/>
      <c r="J133" s="386"/>
    </row>
    <row r="134" spans="1:10" ht="16.5">
      <c r="A134" s="398"/>
      <c r="B134" s="399"/>
      <c r="C134" s="385"/>
      <c r="D134" s="398"/>
      <c r="E134" s="398"/>
      <c r="F134" s="386"/>
      <c r="G134" s="386"/>
      <c r="H134" s="386"/>
      <c r="I134" s="386"/>
      <c r="J134" s="386"/>
    </row>
    <row r="135" spans="1:10" ht="16.5">
      <c r="A135" s="398"/>
      <c r="B135" s="399"/>
      <c r="C135" s="385"/>
      <c r="D135" s="398"/>
      <c r="E135" s="398"/>
      <c r="F135" s="386"/>
      <c r="G135" s="386"/>
      <c r="H135" s="386"/>
      <c r="I135" s="386"/>
      <c r="J135" s="386"/>
    </row>
    <row r="136" spans="1:10" ht="16.5">
      <c r="A136" s="398"/>
      <c r="B136" s="399"/>
      <c r="C136" s="385"/>
      <c r="D136" s="398"/>
      <c r="E136" s="398"/>
      <c r="F136" s="386"/>
      <c r="G136" s="386"/>
      <c r="H136" s="386"/>
      <c r="I136" s="386"/>
      <c r="J136" s="386"/>
    </row>
    <row r="137" spans="1:10" ht="16.5">
      <c r="A137" s="398"/>
      <c r="B137" s="399"/>
      <c r="C137" s="385"/>
      <c r="D137" s="398"/>
      <c r="E137" s="398"/>
      <c r="F137" s="386"/>
      <c r="G137" s="386"/>
      <c r="H137" s="386"/>
      <c r="I137" s="386"/>
      <c r="J137" s="386"/>
    </row>
    <row r="138" spans="1:10" ht="16.5">
      <c r="A138" s="398"/>
      <c r="B138" s="399"/>
      <c r="C138" s="385"/>
      <c r="D138" s="398"/>
      <c r="E138" s="398"/>
      <c r="F138" s="386"/>
      <c r="G138" s="386"/>
      <c r="H138" s="386"/>
      <c r="I138" s="386"/>
      <c r="J138" s="386"/>
    </row>
    <row r="139" spans="1:10" ht="16.5">
      <c r="A139" s="398"/>
      <c r="B139" s="399"/>
      <c r="C139" s="385"/>
      <c r="D139" s="398"/>
      <c r="E139" s="398"/>
      <c r="F139" s="386"/>
      <c r="G139" s="386"/>
      <c r="H139" s="386"/>
      <c r="I139" s="386"/>
      <c r="J139" s="386"/>
    </row>
    <row r="140" spans="1:10" ht="16.5">
      <c r="A140" s="398"/>
      <c r="B140" s="399"/>
      <c r="C140" s="385"/>
      <c r="D140" s="398"/>
      <c r="E140" s="398"/>
      <c r="F140" s="386"/>
      <c r="G140" s="386"/>
      <c r="H140" s="386"/>
      <c r="I140" s="386"/>
      <c r="J140" s="386"/>
    </row>
    <row r="141" spans="1:10" ht="16.5">
      <c r="A141" s="398"/>
      <c r="B141" s="399"/>
      <c r="C141" s="385"/>
      <c r="D141" s="398"/>
      <c r="E141" s="398"/>
      <c r="F141" s="386"/>
      <c r="G141" s="386"/>
      <c r="H141" s="386"/>
      <c r="I141" s="386"/>
      <c r="J141" s="386"/>
    </row>
    <row r="142" spans="1:10" ht="16.5">
      <c r="A142" s="398"/>
      <c r="B142" s="399"/>
      <c r="C142" s="385"/>
      <c r="D142" s="398"/>
      <c r="E142" s="398"/>
      <c r="F142" s="386"/>
      <c r="G142" s="386"/>
      <c r="H142" s="386"/>
      <c r="I142" s="386"/>
      <c r="J142" s="386"/>
    </row>
    <row r="143" spans="1:10" ht="16.5">
      <c r="A143" s="398"/>
      <c r="B143" s="399"/>
      <c r="C143" s="385"/>
      <c r="D143" s="398"/>
      <c r="E143" s="398"/>
      <c r="F143" s="386"/>
      <c r="G143" s="386"/>
      <c r="H143" s="386"/>
      <c r="I143" s="386"/>
      <c r="J143" s="386"/>
    </row>
    <row r="144" spans="1:10" ht="16.5">
      <c r="A144" s="398"/>
      <c r="B144" s="399"/>
      <c r="C144" s="385"/>
      <c r="D144" s="398"/>
      <c r="E144" s="398"/>
      <c r="F144" s="386"/>
      <c r="G144" s="386"/>
      <c r="H144" s="386"/>
      <c r="I144" s="386"/>
      <c r="J144" s="386"/>
    </row>
    <row r="145" spans="1:10" ht="16.5">
      <c r="A145" s="398"/>
      <c r="B145" s="399"/>
      <c r="C145" s="385"/>
      <c r="D145" s="398"/>
      <c r="E145" s="398"/>
      <c r="F145" s="386"/>
      <c r="G145" s="386"/>
      <c r="H145" s="386"/>
      <c r="I145" s="386"/>
      <c r="J145" s="386"/>
    </row>
    <row r="146" spans="1:10" ht="16.5">
      <c r="A146" s="398"/>
      <c r="B146" s="399"/>
      <c r="C146" s="385"/>
      <c r="D146" s="398"/>
      <c r="E146" s="398"/>
      <c r="F146" s="386"/>
      <c r="G146" s="386"/>
      <c r="H146" s="386"/>
      <c r="I146" s="386"/>
      <c r="J146" s="386"/>
    </row>
    <row r="147" spans="1:10" ht="16.5">
      <c r="A147" s="398"/>
      <c r="B147" s="399"/>
      <c r="C147" s="385"/>
      <c r="D147" s="398"/>
      <c r="E147" s="398"/>
      <c r="F147" s="386"/>
      <c r="G147" s="386"/>
      <c r="H147" s="386"/>
      <c r="I147" s="386"/>
      <c r="J147" s="386"/>
    </row>
    <row r="148" spans="1:10" ht="16.5">
      <c r="A148" s="398"/>
      <c r="B148" s="399"/>
      <c r="C148" s="385"/>
      <c r="D148" s="398"/>
      <c r="E148" s="398"/>
      <c r="F148" s="386"/>
      <c r="G148" s="386"/>
      <c r="H148" s="386"/>
      <c r="I148" s="386"/>
      <c r="J148" s="386"/>
    </row>
    <row r="149" spans="1:10" ht="16.5">
      <c r="A149" s="398"/>
      <c r="B149" s="399"/>
      <c r="C149" s="385"/>
      <c r="D149" s="398"/>
      <c r="E149" s="398"/>
      <c r="F149" s="386"/>
      <c r="G149" s="386"/>
      <c r="H149" s="386"/>
      <c r="I149" s="386"/>
      <c r="J149" s="386"/>
    </row>
    <row r="150" spans="1:10" ht="16.5">
      <c r="A150" s="398"/>
      <c r="B150" s="399"/>
      <c r="C150" s="385"/>
      <c r="D150" s="398"/>
      <c r="E150" s="398"/>
      <c r="F150" s="386"/>
      <c r="G150" s="386"/>
      <c r="H150" s="386"/>
      <c r="I150" s="386"/>
      <c r="J150" s="386"/>
    </row>
    <row r="151" spans="1:10" ht="16.5">
      <c r="A151" s="398"/>
      <c r="B151" s="399"/>
      <c r="C151" s="385"/>
      <c r="D151" s="398"/>
      <c r="E151" s="398"/>
      <c r="F151" s="386"/>
      <c r="G151" s="386"/>
      <c r="H151" s="386"/>
      <c r="I151" s="386"/>
      <c r="J151" s="386"/>
    </row>
    <row r="152" spans="1:10" ht="16.5">
      <c r="A152" s="398"/>
      <c r="B152" s="399"/>
      <c r="C152" s="385"/>
      <c r="D152" s="398"/>
      <c r="E152" s="398"/>
      <c r="F152" s="386"/>
      <c r="G152" s="386"/>
      <c r="H152" s="386"/>
      <c r="I152" s="386"/>
      <c r="J152" s="386"/>
    </row>
    <row r="153" spans="1:10" ht="16.5">
      <c r="A153" s="398"/>
      <c r="B153" s="399"/>
      <c r="C153" s="385"/>
      <c r="D153" s="398"/>
      <c r="E153" s="398"/>
      <c r="F153" s="386"/>
      <c r="G153" s="386"/>
      <c r="H153" s="386"/>
      <c r="I153" s="386"/>
      <c r="J153" s="386"/>
    </row>
    <row r="154" spans="1:10" ht="16.5">
      <c r="A154" s="398"/>
      <c r="B154" s="399"/>
      <c r="C154" s="385"/>
      <c r="D154" s="398"/>
      <c r="E154" s="398"/>
      <c r="F154" s="386"/>
      <c r="G154" s="386"/>
      <c r="H154" s="386"/>
      <c r="I154" s="386"/>
      <c r="J154" s="386"/>
    </row>
    <row r="155" spans="1:10" ht="16.5">
      <c r="A155" s="398"/>
      <c r="B155" s="399"/>
      <c r="C155" s="385"/>
      <c r="D155" s="398"/>
      <c r="E155" s="398"/>
      <c r="F155" s="386"/>
      <c r="G155" s="386"/>
      <c r="H155" s="386"/>
      <c r="I155" s="386"/>
      <c r="J155" s="386"/>
    </row>
    <row r="156" spans="1:10" ht="16.5">
      <c r="A156" s="398"/>
      <c r="B156" s="399"/>
      <c r="C156" s="385"/>
      <c r="D156" s="398"/>
      <c r="E156" s="398"/>
      <c r="F156" s="386"/>
      <c r="G156" s="386"/>
      <c r="H156" s="386"/>
      <c r="I156" s="386"/>
      <c r="J156" s="386"/>
    </row>
    <row r="157" spans="1:10" ht="16.5">
      <c r="A157" s="398"/>
      <c r="B157" s="399"/>
      <c r="C157" s="385"/>
      <c r="D157" s="398"/>
      <c r="E157" s="398"/>
      <c r="F157" s="386"/>
      <c r="G157" s="386"/>
      <c r="H157" s="386"/>
      <c r="I157" s="386"/>
      <c r="J157" s="386"/>
    </row>
    <row r="158" spans="1:10" ht="16.5">
      <c r="A158" s="398"/>
      <c r="B158" s="399"/>
      <c r="C158" s="385"/>
      <c r="D158" s="398"/>
      <c r="E158" s="398"/>
      <c r="F158" s="386"/>
      <c r="G158" s="386"/>
      <c r="H158" s="386"/>
      <c r="I158" s="386"/>
      <c r="J158" s="386"/>
    </row>
    <row r="159" spans="1:10" ht="16.5">
      <c r="A159" s="398"/>
      <c r="B159" s="399"/>
      <c r="C159" s="385"/>
      <c r="D159" s="398"/>
      <c r="E159" s="398"/>
      <c r="F159" s="386"/>
      <c r="G159" s="386"/>
      <c r="H159" s="386"/>
      <c r="I159" s="386"/>
      <c r="J159" s="386"/>
    </row>
    <row r="160" spans="1:10" ht="16.5">
      <c r="A160" s="398"/>
      <c r="B160" s="399"/>
      <c r="C160" s="385"/>
      <c r="D160" s="398"/>
      <c r="E160" s="398"/>
      <c r="F160" s="386"/>
      <c r="G160" s="386"/>
      <c r="H160" s="386"/>
      <c r="I160" s="386"/>
      <c r="J160" s="386"/>
    </row>
    <row r="161" spans="1:10" ht="16.5">
      <c r="A161" s="398"/>
      <c r="B161" s="399"/>
      <c r="C161" s="385"/>
      <c r="D161" s="398"/>
      <c r="E161" s="398"/>
      <c r="F161" s="386"/>
      <c r="G161" s="386"/>
      <c r="H161" s="386"/>
      <c r="I161" s="386"/>
      <c r="J161" s="386"/>
    </row>
    <row r="162" spans="1:10" ht="16.5">
      <c r="A162" s="398"/>
      <c r="B162" s="399"/>
      <c r="C162" s="385"/>
      <c r="D162" s="398"/>
      <c r="E162" s="398"/>
      <c r="F162" s="386"/>
      <c r="G162" s="386"/>
      <c r="H162" s="386"/>
      <c r="I162" s="386"/>
      <c r="J162" s="386"/>
    </row>
    <row r="163" spans="1:10" ht="16.5">
      <c r="A163" s="398"/>
      <c r="B163" s="399"/>
      <c r="C163" s="385"/>
      <c r="D163" s="398"/>
      <c r="E163" s="398"/>
      <c r="F163" s="386"/>
      <c r="G163" s="386"/>
      <c r="H163" s="386"/>
      <c r="I163" s="386"/>
      <c r="J163" s="386"/>
    </row>
    <row r="164" spans="1:10" ht="16.5">
      <c r="A164" s="398"/>
      <c r="B164" s="399"/>
      <c r="C164" s="385"/>
      <c r="D164" s="398"/>
      <c r="E164" s="398"/>
      <c r="F164" s="386"/>
      <c r="G164" s="386"/>
      <c r="H164" s="386"/>
      <c r="I164" s="386"/>
      <c r="J164" s="386"/>
    </row>
    <row r="165" spans="1:10" ht="16.5">
      <c r="A165" s="398"/>
      <c r="B165" s="399"/>
      <c r="C165" s="385"/>
      <c r="D165" s="398"/>
      <c r="E165" s="398"/>
      <c r="F165" s="386"/>
      <c r="G165" s="386"/>
      <c r="H165" s="386"/>
      <c r="I165" s="386"/>
      <c r="J165" s="386"/>
    </row>
    <row r="166" spans="1:10" ht="16.5">
      <c r="A166" s="398"/>
      <c r="B166" s="399"/>
      <c r="C166" s="385"/>
      <c r="D166" s="398"/>
      <c r="E166" s="398"/>
      <c r="F166" s="386"/>
      <c r="G166" s="386"/>
      <c r="H166" s="386"/>
      <c r="I166" s="386"/>
      <c r="J166" s="386"/>
    </row>
    <row r="167" spans="1:10" ht="16.5">
      <c r="A167" s="398"/>
      <c r="B167" s="399"/>
      <c r="C167" s="385"/>
      <c r="D167" s="398"/>
      <c r="E167" s="398"/>
      <c r="F167" s="386"/>
      <c r="G167" s="386"/>
      <c r="H167" s="386"/>
      <c r="I167" s="386"/>
      <c r="J167" s="386"/>
    </row>
    <row r="168" spans="1:10" ht="16.5">
      <c r="A168" s="398"/>
      <c r="B168" s="399"/>
      <c r="C168" s="385"/>
      <c r="D168" s="398"/>
      <c r="E168" s="398"/>
      <c r="F168" s="386"/>
      <c r="G168" s="386"/>
      <c r="H168" s="386"/>
      <c r="I168" s="386"/>
      <c r="J168" s="386"/>
    </row>
    <row r="169" spans="1:10" ht="16.5">
      <c r="A169" s="398"/>
      <c r="B169" s="399"/>
      <c r="C169" s="385"/>
      <c r="D169" s="398"/>
      <c r="E169" s="398"/>
      <c r="F169" s="386"/>
      <c r="G169" s="386"/>
      <c r="H169" s="386"/>
      <c r="I169" s="386"/>
      <c r="J169" s="386"/>
    </row>
    <row r="170" spans="1:10" ht="16.5">
      <c r="A170" s="398"/>
      <c r="B170" s="399"/>
      <c r="C170" s="385"/>
      <c r="D170" s="398"/>
      <c r="E170" s="398"/>
      <c r="F170" s="386"/>
      <c r="G170" s="386"/>
      <c r="H170" s="386"/>
      <c r="I170" s="386"/>
      <c r="J170" s="386"/>
    </row>
    <row r="171" spans="1:10" ht="16.5">
      <c r="A171" s="398"/>
      <c r="B171" s="399"/>
      <c r="C171" s="385"/>
      <c r="D171" s="398"/>
      <c r="E171" s="398"/>
      <c r="F171" s="386"/>
      <c r="G171" s="386"/>
      <c r="H171" s="386"/>
      <c r="I171" s="386"/>
      <c r="J171" s="386"/>
    </row>
    <row r="172" spans="1:10" ht="16.5">
      <c r="A172" s="398"/>
      <c r="B172" s="399"/>
      <c r="C172" s="385"/>
      <c r="D172" s="398"/>
      <c r="E172" s="398"/>
      <c r="F172" s="386"/>
      <c r="G172" s="386"/>
      <c r="H172" s="386"/>
      <c r="I172" s="386"/>
      <c r="J172" s="386"/>
    </row>
    <row r="173" spans="1:10" ht="16.5">
      <c r="A173" s="398"/>
      <c r="B173" s="399"/>
      <c r="C173" s="385"/>
      <c r="D173" s="398"/>
      <c r="E173" s="398"/>
      <c r="F173" s="386"/>
      <c r="G173" s="386"/>
      <c r="H173" s="386"/>
      <c r="I173" s="386"/>
      <c r="J173" s="386"/>
    </row>
    <row r="174" spans="1:10" ht="16.5">
      <c r="A174" s="398"/>
      <c r="B174" s="399"/>
      <c r="C174" s="385"/>
      <c r="D174" s="398"/>
      <c r="E174" s="398"/>
      <c r="F174" s="386"/>
      <c r="G174" s="386"/>
      <c r="H174" s="386"/>
      <c r="I174" s="386"/>
      <c r="J174" s="386"/>
    </row>
    <row r="175" spans="1:10" ht="16.5">
      <c r="A175" s="398"/>
      <c r="B175" s="399"/>
      <c r="C175" s="385"/>
      <c r="D175" s="398"/>
      <c r="E175" s="398"/>
      <c r="F175" s="386"/>
      <c r="G175" s="386"/>
      <c r="H175" s="386"/>
      <c r="I175" s="386"/>
      <c r="J175" s="386"/>
    </row>
    <row r="176" spans="1:10" ht="16.5">
      <c r="A176" s="398"/>
      <c r="B176" s="399"/>
      <c r="C176" s="385"/>
      <c r="D176" s="398"/>
      <c r="E176" s="398"/>
      <c r="F176" s="386"/>
      <c r="G176" s="386"/>
      <c r="H176" s="386"/>
      <c r="I176" s="386"/>
      <c r="J176" s="386"/>
    </row>
    <row r="177" spans="1:10" ht="16.5">
      <c r="A177" s="398"/>
      <c r="B177" s="399"/>
      <c r="C177" s="385"/>
      <c r="D177" s="398"/>
      <c r="E177" s="398"/>
      <c r="F177" s="386"/>
      <c r="G177" s="386"/>
      <c r="H177" s="386"/>
      <c r="I177" s="386"/>
      <c r="J177" s="386"/>
    </row>
    <row r="178" spans="1:10" ht="16.5">
      <c r="A178" s="398"/>
      <c r="B178" s="399"/>
      <c r="C178" s="385"/>
      <c r="D178" s="398"/>
      <c r="E178" s="398"/>
      <c r="F178" s="386"/>
      <c r="G178" s="386"/>
      <c r="H178" s="386"/>
      <c r="I178" s="386"/>
      <c r="J178" s="386"/>
    </row>
    <row r="179" spans="1:10" ht="16.5">
      <c r="A179" s="398"/>
      <c r="B179" s="399"/>
      <c r="C179" s="385"/>
      <c r="D179" s="398"/>
      <c r="E179" s="398"/>
      <c r="F179" s="386"/>
      <c r="G179" s="386"/>
      <c r="H179" s="386"/>
      <c r="I179" s="386"/>
      <c r="J179" s="386"/>
    </row>
    <row r="180" spans="1:10" ht="16.5">
      <c r="A180" s="398"/>
      <c r="B180" s="399"/>
      <c r="C180" s="385"/>
      <c r="D180" s="398"/>
      <c r="E180" s="398"/>
      <c r="F180" s="386"/>
      <c r="G180" s="386"/>
      <c r="H180" s="386"/>
      <c r="I180" s="386"/>
      <c r="J180" s="386"/>
    </row>
    <row r="181" spans="1:10" ht="16.5">
      <c r="A181" s="398"/>
      <c r="B181" s="399"/>
      <c r="C181" s="385"/>
      <c r="D181" s="398"/>
      <c r="E181" s="398"/>
      <c r="F181" s="386"/>
      <c r="G181" s="386"/>
      <c r="H181" s="386"/>
      <c r="I181" s="386"/>
      <c r="J181" s="386"/>
    </row>
    <row r="182" spans="1:10" ht="16.5">
      <c r="A182" s="398"/>
      <c r="B182" s="399"/>
      <c r="C182" s="385"/>
      <c r="D182" s="398"/>
      <c r="E182" s="398"/>
      <c r="F182" s="386"/>
      <c r="G182" s="386"/>
      <c r="H182" s="386"/>
      <c r="I182" s="386"/>
      <c r="J182" s="386"/>
    </row>
    <row r="183" spans="1:10" ht="16.5">
      <c r="A183" s="398"/>
      <c r="B183" s="399"/>
      <c r="C183" s="385"/>
      <c r="D183" s="398"/>
      <c r="E183" s="398"/>
      <c r="F183" s="386"/>
      <c r="G183" s="386"/>
      <c r="H183" s="386"/>
      <c r="I183" s="386"/>
      <c r="J183" s="386"/>
    </row>
    <row r="184" spans="1:10" ht="16.5">
      <c r="A184" s="398"/>
      <c r="B184" s="399"/>
      <c r="C184" s="385"/>
      <c r="D184" s="398"/>
      <c r="E184" s="398"/>
      <c r="F184" s="386"/>
      <c r="G184" s="386"/>
      <c r="H184" s="386"/>
      <c r="I184" s="386"/>
      <c r="J184" s="386"/>
    </row>
    <row r="185" spans="1:10" ht="16.5">
      <c r="A185" s="398"/>
      <c r="B185" s="399"/>
      <c r="C185" s="385"/>
      <c r="D185" s="398"/>
      <c r="E185" s="398"/>
      <c r="F185" s="386"/>
      <c r="G185" s="386"/>
      <c r="H185" s="386"/>
      <c r="I185" s="386"/>
      <c r="J185" s="386"/>
    </row>
    <row r="186" spans="1:10" ht="16.5">
      <c r="A186" s="398"/>
      <c r="B186" s="399"/>
      <c r="C186" s="385"/>
      <c r="D186" s="398"/>
      <c r="E186" s="398"/>
      <c r="F186" s="386"/>
      <c r="G186" s="386"/>
      <c r="H186" s="386"/>
      <c r="I186" s="386"/>
      <c r="J186" s="386"/>
    </row>
    <row r="187" spans="1:10" ht="16.5">
      <c r="A187" s="398"/>
      <c r="B187" s="399"/>
      <c r="C187" s="385"/>
      <c r="D187" s="398"/>
      <c r="E187" s="398"/>
      <c r="F187" s="386"/>
      <c r="G187" s="386"/>
      <c r="H187" s="386"/>
      <c r="I187" s="386"/>
      <c r="J187" s="386"/>
    </row>
    <row r="188" spans="1:10" ht="16.5">
      <c r="A188" s="398"/>
      <c r="B188" s="399"/>
      <c r="C188" s="385"/>
      <c r="D188" s="398"/>
      <c r="E188" s="398"/>
      <c r="F188" s="386"/>
      <c r="G188" s="386"/>
      <c r="H188" s="386"/>
      <c r="I188" s="386"/>
      <c r="J188" s="386"/>
    </row>
    <row r="189" spans="1:10" ht="16.5">
      <c r="A189" s="398"/>
      <c r="B189" s="399"/>
      <c r="C189" s="385"/>
      <c r="D189" s="398"/>
      <c r="E189" s="398"/>
      <c r="F189" s="386"/>
      <c r="G189" s="386"/>
      <c r="H189" s="386"/>
      <c r="I189" s="386"/>
      <c r="J189" s="386"/>
    </row>
    <row r="190" spans="1:10" ht="16.5">
      <c r="A190" s="398"/>
      <c r="B190" s="399"/>
      <c r="C190" s="385"/>
      <c r="D190" s="398"/>
      <c r="E190" s="398"/>
      <c r="F190" s="386"/>
      <c r="G190" s="386"/>
      <c r="H190" s="386"/>
      <c r="I190" s="386"/>
      <c r="J190" s="386"/>
    </row>
    <row r="191" spans="1:10" ht="16.5">
      <c r="A191" s="398"/>
      <c r="B191" s="399"/>
      <c r="C191" s="385"/>
      <c r="D191" s="398"/>
      <c r="E191" s="398"/>
      <c r="F191" s="386"/>
      <c r="G191" s="386"/>
      <c r="H191" s="386"/>
      <c r="I191" s="386"/>
      <c r="J191" s="386"/>
    </row>
    <row r="192" spans="1:10" ht="16.5">
      <c r="A192" s="398"/>
      <c r="B192" s="399"/>
      <c r="C192" s="385"/>
      <c r="D192" s="398"/>
      <c r="E192" s="398"/>
      <c r="F192" s="386"/>
      <c r="G192" s="386"/>
      <c r="H192" s="386"/>
      <c r="I192" s="386"/>
      <c r="J192" s="386"/>
    </row>
    <row r="193" spans="1:10" ht="16.5">
      <c r="A193" s="398"/>
      <c r="B193" s="399"/>
      <c r="C193" s="385"/>
      <c r="D193" s="398"/>
      <c r="E193" s="398"/>
      <c r="F193" s="386"/>
      <c r="G193" s="386"/>
      <c r="H193" s="386"/>
      <c r="I193" s="386"/>
      <c r="J193" s="386"/>
    </row>
    <row r="194" spans="1:10" ht="16.5">
      <c r="A194" s="398"/>
      <c r="B194" s="399"/>
      <c r="C194" s="385"/>
      <c r="D194" s="398"/>
      <c r="E194" s="398"/>
      <c r="F194" s="386"/>
      <c r="G194" s="386"/>
      <c r="H194" s="386"/>
      <c r="I194" s="386"/>
      <c r="J194" s="386"/>
    </row>
    <row r="195" spans="1:10" ht="16.5">
      <c r="A195" s="398"/>
      <c r="B195" s="399"/>
      <c r="C195" s="385"/>
      <c r="D195" s="398"/>
      <c r="E195" s="398"/>
      <c r="F195" s="386"/>
      <c r="G195" s="386"/>
      <c r="H195" s="386"/>
      <c r="I195" s="386"/>
      <c r="J195" s="386"/>
    </row>
    <row r="196" spans="1:10" ht="16.5">
      <c r="A196" s="398"/>
      <c r="B196" s="399"/>
      <c r="C196" s="385"/>
      <c r="D196" s="398"/>
      <c r="E196" s="398"/>
      <c r="F196" s="386"/>
      <c r="G196" s="386"/>
      <c r="H196" s="386"/>
      <c r="I196" s="386"/>
      <c r="J196" s="386"/>
    </row>
    <row r="197" spans="1:10" ht="16.5">
      <c r="A197" s="398"/>
      <c r="B197" s="399"/>
      <c r="C197" s="385"/>
      <c r="D197" s="398"/>
      <c r="E197" s="398"/>
      <c r="F197" s="386"/>
      <c r="G197" s="386"/>
      <c r="H197" s="386"/>
      <c r="I197" s="386"/>
      <c r="J197" s="386"/>
    </row>
    <row r="198" spans="1:10" ht="16.5">
      <c r="A198" s="398"/>
      <c r="B198" s="399"/>
      <c r="C198" s="385"/>
      <c r="D198" s="398"/>
      <c r="E198" s="398"/>
      <c r="F198" s="386"/>
      <c r="G198" s="386"/>
      <c r="H198" s="386"/>
      <c r="I198" s="386"/>
      <c r="J198" s="386"/>
    </row>
    <row r="199" spans="1:10" ht="16.5">
      <c r="A199" s="398"/>
      <c r="B199" s="399"/>
      <c r="C199" s="385"/>
      <c r="D199" s="398"/>
      <c r="E199" s="398"/>
      <c r="F199" s="386"/>
      <c r="G199" s="386"/>
      <c r="H199" s="386"/>
      <c r="I199" s="386"/>
      <c r="J199" s="386"/>
    </row>
    <row r="200" spans="1:10" ht="16.5">
      <c r="A200" s="398"/>
      <c r="B200" s="399"/>
      <c r="C200" s="385"/>
      <c r="D200" s="398"/>
      <c r="E200" s="398"/>
      <c r="F200" s="386"/>
      <c r="G200" s="386"/>
      <c r="H200" s="386"/>
      <c r="I200" s="386"/>
      <c r="J200" s="386"/>
    </row>
    <row r="201" spans="1:10" ht="16.5">
      <c r="A201" s="398"/>
      <c r="B201" s="399"/>
      <c r="C201" s="385"/>
      <c r="D201" s="398"/>
      <c r="E201" s="398"/>
      <c r="F201" s="386"/>
      <c r="G201" s="386"/>
      <c r="H201" s="386"/>
      <c r="I201" s="386"/>
      <c r="J201" s="386"/>
    </row>
    <row r="202" spans="1:10" ht="16.5">
      <c r="A202" s="398"/>
      <c r="B202" s="399"/>
      <c r="C202" s="385"/>
      <c r="D202" s="398"/>
      <c r="E202" s="398"/>
      <c r="F202" s="386"/>
      <c r="G202" s="386"/>
      <c r="H202" s="386"/>
      <c r="I202" s="386"/>
      <c r="J202" s="386"/>
    </row>
    <row r="203" spans="1:10" ht="16.5">
      <c r="A203" s="398"/>
      <c r="B203" s="399"/>
      <c r="C203" s="385"/>
      <c r="D203" s="398"/>
      <c r="E203" s="398"/>
      <c r="F203" s="386"/>
      <c r="G203" s="386"/>
      <c r="H203" s="386"/>
      <c r="I203" s="386"/>
      <c r="J203" s="386"/>
    </row>
    <row r="204" spans="1:10" ht="16.5">
      <c r="A204" s="398"/>
      <c r="B204" s="399"/>
      <c r="C204" s="385"/>
      <c r="D204" s="398"/>
      <c r="E204" s="398"/>
      <c r="F204" s="386"/>
      <c r="G204" s="386"/>
      <c r="H204" s="386"/>
      <c r="I204" s="386"/>
      <c r="J204" s="386"/>
    </row>
    <row r="205" spans="1:10" ht="16.5">
      <c r="A205" s="398"/>
      <c r="B205" s="399"/>
      <c r="C205" s="385"/>
      <c r="D205" s="398"/>
      <c r="E205" s="398"/>
      <c r="F205" s="386"/>
      <c r="G205" s="386"/>
      <c r="H205" s="386"/>
      <c r="I205" s="386"/>
      <c r="J205" s="386"/>
    </row>
    <row r="206" spans="1:10" ht="16.5">
      <c r="A206" s="398"/>
      <c r="B206" s="399"/>
      <c r="C206" s="385"/>
      <c r="D206" s="398"/>
      <c r="E206" s="398"/>
      <c r="F206" s="386"/>
      <c r="G206" s="386"/>
      <c r="H206" s="386"/>
      <c r="I206" s="386"/>
      <c r="J206" s="386"/>
    </row>
    <row r="207" spans="1:10" ht="16.5">
      <c r="A207" s="398"/>
      <c r="B207" s="399"/>
      <c r="C207" s="385"/>
      <c r="D207" s="398"/>
      <c r="E207" s="398"/>
      <c r="F207" s="386"/>
      <c r="G207" s="386"/>
      <c r="H207" s="386"/>
      <c r="I207" s="386"/>
      <c r="J207" s="386"/>
    </row>
    <row r="208" spans="1:10" ht="16.5">
      <c r="A208" s="398"/>
      <c r="B208" s="399"/>
      <c r="C208" s="385"/>
      <c r="D208" s="398"/>
      <c r="E208" s="398"/>
      <c r="F208" s="386"/>
      <c r="G208" s="386"/>
      <c r="H208" s="386"/>
      <c r="I208" s="386"/>
      <c r="J208" s="386"/>
    </row>
    <row r="209" spans="1:10" ht="16.5">
      <c r="A209" s="398"/>
      <c r="B209" s="399"/>
      <c r="C209" s="385"/>
      <c r="D209" s="398"/>
      <c r="E209" s="398"/>
      <c r="F209" s="386"/>
      <c r="G209" s="386"/>
      <c r="H209" s="386"/>
      <c r="I209" s="386"/>
      <c r="J209" s="386"/>
    </row>
    <row r="210" spans="1:10" ht="16.5">
      <c r="A210" s="398"/>
      <c r="B210" s="399"/>
      <c r="C210" s="385"/>
      <c r="D210" s="398"/>
      <c r="E210" s="398"/>
      <c r="F210" s="386"/>
      <c r="G210" s="386"/>
      <c r="H210" s="386"/>
      <c r="I210" s="386"/>
      <c r="J210" s="386"/>
    </row>
    <row r="211" spans="1:10" ht="16.5">
      <c r="A211" s="398"/>
      <c r="B211" s="399"/>
      <c r="C211" s="385"/>
      <c r="D211" s="398"/>
      <c r="E211" s="398"/>
      <c r="F211" s="386"/>
      <c r="G211" s="386"/>
      <c r="H211" s="386"/>
      <c r="I211" s="386"/>
      <c r="J211" s="386"/>
    </row>
    <row r="212" spans="1:10" ht="16.5">
      <c r="A212" s="398"/>
      <c r="B212" s="399"/>
      <c r="C212" s="385"/>
      <c r="D212" s="398"/>
      <c r="E212" s="398"/>
      <c r="F212" s="386"/>
      <c r="G212" s="386"/>
      <c r="H212" s="386"/>
      <c r="I212" s="386"/>
      <c r="J212" s="386"/>
    </row>
    <row r="213" spans="1:10" ht="16.5">
      <c r="A213" s="398"/>
      <c r="B213" s="399"/>
      <c r="C213" s="385"/>
      <c r="D213" s="398"/>
      <c r="E213" s="398"/>
      <c r="F213" s="386"/>
      <c r="G213" s="386"/>
      <c r="H213" s="386"/>
      <c r="I213" s="386"/>
      <c r="J213" s="386"/>
    </row>
    <row r="214" spans="1:10" ht="16.5">
      <c r="A214" s="398"/>
      <c r="B214" s="399"/>
      <c r="C214" s="385"/>
      <c r="D214" s="398"/>
      <c r="E214" s="398"/>
      <c r="F214" s="386"/>
      <c r="G214" s="386"/>
      <c r="H214" s="386"/>
      <c r="I214" s="386"/>
      <c r="J214" s="386"/>
    </row>
    <row r="215" spans="1:10" ht="16.5">
      <c r="A215" s="398"/>
      <c r="B215" s="399"/>
      <c r="C215" s="385"/>
      <c r="D215" s="398"/>
      <c r="E215" s="398"/>
      <c r="F215" s="386"/>
      <c r="G215" s="386"/>
      <c r="H215" s="386"/>
      <c r="I215" s="386"/>
      <c r="J215" s="386"/>
    </row>
    <row r="216" spans="1:10" ht="16.5">
      <c r="A216" s="398"/>
      <c r="B216" s="399"/>
      <c r="C216" s="385"/>
      <c r="D216" s="398"/>
      <c r="E216" s="398"/>
      <c r="F216" s="386"/>
      <c r="G216" s="386"/>
      <c r="H216" s="386"/>
      <c r="I216" s="386"/>
      <c r="J216" s="386"/>
    </row>
    <row r="217" spans="1:10" ht="16.5">
      <c r="A217" s="398"/>
      <c r="B217" s="399"/>
      <c r="C217" s="385"/>
      <c r="D217" s="398"/>
      <c r="E217" s="398"/>
      <c r="F217" s="386"/>
      <c r="G217" s="386"/>
      <c r="H217" s="386"/>
      <c r="I217" s="386"/>
      <c r="J217" s="386"/>
    </row>
    <row r="218" spans="1:10" ht="16.5">
      <c r="A218" s="398"/>
      <c r="B218" s="399"/>
      <c r="C218" s="385"/>
      <c r="D218" s="398"/>
      <c r="E218" s="398"/>
      <c r="F218" s="386"/>
      <c r="G218" s="386"/>
      <c r="H218" s="386"/>
      <c r="I218" s="386"/>
      <c r="J218" s="386"/>
    </row>
    <row r="219" spans="1:10" ht="16.5">
      <c r="A219" s="398"/>
      <c r="B219" s="399"/>
      <c r="C219" s="385"/>
      <c r="D219" s="398"/>
      <c r="E219" s="398"/>
      <c r="F219" s="386"/>
      <c r="G219" s="386"/>
      <c r="H219" s="386"/>
      <c r="I219" s="386"/>
      <c r="J219" s="386"/>
    </row>
    <row r="220" spans="1:10" ht="16.5">
      <c r="A220" s="398"/>
      <c r="B220" s="399"/>
      <c r="C220" s="385"/>
      <c r="D220" s="398"/>
      <c r="E220" s="398"/>
      <c r="F220" s="386"/>
      <c r="G220" s="386"/>
      <c r="H220" s="386"/>
      <c r="I220" s="386"/>
      <c r="J220" s="386"/>
    </row>
    <row r="221" spans="1:10" ht="16.5">
      <c r="A221" s="398"/>
      <c r="B221" s="399"/>
      <c r="C221" s="385"/>
      <c r="D221" s="398"/>
      <c r="E221" s="398"/>
      <c r="F221" s="386"/>
      <c r="G221" s="386"/>
      <c r="H221" s="386"/>
      <c r="I221" s="386"/>
      <c r="J221" s="386"/>
    </row>
    <row r="222" spans="1:10" ht="16.5">
      <c r="A222" s="398"/>
      <c r="B222" s="399"/>
      <c r="C222" s="385"/>
      <c r="D222" s="398"/>
      <c r="E222" s="398"/>
      <c r="F222" s="386"/>
      <c r="G222" s="386"/>
      <c r="H222" s="386"/>
      <c r="I222" s="386"/>
      <c r="J222" s="386"/>
    </row>
    <row r="223" spans="1:10" ht="16.5">
      <c r="A223" s="398"/>
      <c r="B223" s="399"/>
      <c r="C223" s="385"/>
      <c r="D223" s="398"/>
      <c r="E223" s="398"/>
      <c r="F223" s="386"/>
      <c r="G223" s="386"/>
      <c r="H223" s="386"/>
      <c r="I223" s="386"/>
      <c r="J223" s="386"/>
    </row>
    <row r="224" spans="1:10" ht="16.5">
      <c r="A224" s="398"/>
      <c r="B224" s="399"/>
      <c r="C224" s="385"/>
      <c r="D224" s="398"/>
      <c r="E224" s="398"/>
      <c r="F224" s="386"/>
      <c r="G224" s="386"/>
      <c r="H224" s="386"/>
      <c r="I224" s="386"/>
      <c r="J224" s="386"/>
    </row>
    <row r="225" spans="1:10" ht="16.5">
      <c r="A225" s="398"/>
      <c r="B225" s="399"/>
      <c r="C225" s="385"/>
      <c r="D225" s="398"/>
      <c r="E225" s="398"/>
      <c r="F225" s="386"/>
      <c r="G225" s="386"/>
      <c r="H225" s="386"/>
      <c r="I225" s="386"/>
      <c r="J225" s="386"/>
    </row>
    <row r="226" spans="1:10" ht="16.5">
      <c r="A226" s="398"/>
      <c r="B226" s="399"/>
      <c r="C226" s="385"/>
      <c r="D226" s="398"/>
      <c r="E226" s="398"/>
      <c r="F226" s="386"/>
      <c r="G226" s="386"/>
      <c r="H226" s="386"/>
      <c r="I226" s="386"/>
      <c r="J226" s="386"/>
    </row>
    <row r="227" spans="1:10" ht="16.5">
      <c r="A227" s="398"/>
      <c r="B227" s="399"/>
      <c r="C227" s="385"/>
      <c r="D227" s="398"/>
      <c r="E227" s="398"/>
      <c r="F227" s="386"/>
      <c r="G227" s="386"/>
      <c r="H227" s="386"/>
      <c r="I227" s="386"/>
      <c r="J227" s="386"/>
    </row>
    <row r="228" spans="1:10" ht="16.5">
      <c r="A228" s="398"/>
      <c r="B228" s="399"/>
      <c r="C228" s="385"/>
      <c r="D228" s="398"/>
      <c r="E228" s="398"/>
      <c r="F228" s="386"/>
      <c r="G228" s="386"/>
      <c r="H228" s="386"/>
      <c r="I228" s="386"/>
      <c r="J228" s="386"/>
    </row>
    <row r="229" spans="1:10" ht="16.5">
      <c r="A229" s="398"/>
      <c r="B229" s="399"/>
      <c r="C229" s="385"/>
      <c r="D229" s="398"/>
      <c r="E229" s="398"/>
      <c r="F229" s="386"/>
      <c r="G229" s="386"/>
      <c r="H229" s="386"/>
      <c r="I229" s="386"/>
      <c r="J229" s="386"/>
    </row>
    <row r="230" spans="1:10" ht="16.5">
      <c r="A230" s="398"/>
      <c r="B230" s="399"/>
      <c r="C230" s="385"/>
      <c r="D230" s="398"/>
      <c r="E230" s="398"/>
      <c r="F230" s="386"/>
      <c r="G230" s="386"/>
      <c r="H230" s="386"/>
      <c r="I230" s="386"/>
      <c r="J230" s="386"/>
    </row>
    <row r="231" spans="1:10" ht="16.5">
      <c r="A231" s="398"/>
      <c r="B231" s="399"/>
      <c r="C231" s="385"/>
      <c r="D231" s="398"/>
      <c r="E231" s="398"/>
      <c r="F231" s="386"/>
      <c r="G231" s="386"/>
      <c r="H231" s="386"/>
      <c r="I231" s="386"/>
      <c r="J231" s="386"/>
    </row>
    <row r="232" spans="1:10" ht="16.5">
      <c r="A232" s="398"/>
      <c r="B232" s="399"/>
      <c r="C232" s="385"/>
      <c r="D232" s="398"/>
      <c r="E232" s="398"/>
      <c r="F232" s="386"/>
      <c r="G232" s="386"/>
      <c r="H232" s="386"/>
      <c r="I232" s="386"/>
      <c r="J232" s="386"/>
    </row>
    <row r="233" spans="1:10" ht="16.5">
      <c r="A233" s="398"/>
      <c r="B233" s="399"/>
      <c r="C233" s="385"/>
      <c r="D233" s="398"/>
      <c r="E233" s="398"/>
      <c r="F233" s="386"/>
      <c r="G233" s="386"/>
      <c r="H233" s="386"/>
      <c r="I233" s="386"/>
      <c r="J233" s="386"/>
    </row>
    <row r="234" spans="1:10" ht="16.5">
      <c r="A234" s="398"/>
      <c r="B234" s="399"/>
      <c r="C234" s="385"/>
      <c r="D234" s="398"/>
      <c r="E234" s="398"/>
      <c r="F234" s="386"/>
      <c r="G234" s="386"/>
      <c r="H234" s="386"/>
      <c r="I234" s="386"/>
      <c r="J234" s="386"/>
    </row>
    <row r="235" spans="1:10" ht="16.5">
      <c r="A235" s="398"/>
      <c r="B235" s="399"/>
      <c r="C235" s="385"/>
      <c r="D235" s="398"/>
      <c r="E235" s="398"/>
      <c r="F235" s="386"/>
      <c r="G235" s="386"/>
      <c r="H235" s="386"/>
      <c r="I235" s="386"/>
      <c r="J235" s="386"/>
    </row>
    <row r="236" spans="1:10" ht="16.5">
      <c r="A236" s="398"/>
      <c r="B236" s="399"/>
      <c r="C236" s="385"/>
      <c r="D236" s="398"/>
      <c r="E236" s="398"/>
      <c r="F236" s="386"/>
      <c r="G236" s="386"/>
      <c r="H236" s="386"/>
      <c r="I236" s="386"/>
      <c r="J236" s="386"/>
    </row>
    <row r="237" spans="1:10" ht="16.5">
      <c r="A237" s="398"/>
      <c r="B237" s="399"/>
      <c r="C237" s="385"/>
      <c r="D237" s="398"/>
      <c r="E237" s="398"/>
      <c r="F237" s="386"/>
      <c r="G237" s="386"/>
      <c r="H237" s="386"/>
      <c r="I237" s="386"/>
      <c r="J237" s="386"/>
    </row>
    <row r="238" spans="1:10" ht="16.5">
      <c r="A238" s="398"/>
      <c r="B238" s="399"/>
      <c r="C238" s="385"/>
      <c r="D238" s="398"/>
      <c r="E238" s="398"/>
      <c r="F238" s="386"/>
      <c r="G238" s="386"/>
      <c r="H238" s="386"/>
      <c r="I238" s="386"/>
      <c r="J238" s="386"/>
    </row>
    <row r="239" spans="1:10" ht="16.5">
      <c r="A239" s="398"/>
      <c r="B239" s="399"/>
      <c r="C239" s="385"/>
      <c r="D239" s="398"/>
      <c r="E239" s="398"/>
      <c r="F239" s="386"/>
      <c r="G239" s="386"/>
      <c r="H239" s="386"/>
      <c r="I239" s="386"/>
      <c r="J239" s="386"/>
    </row>
    <row r="240" spans="1:10" ht="16.5">
      <c r="A240" s="398"/>
      <c r="B240" s="399"/>
      <c r="C240" s="385"/>
      <c r="D240" s="398"/>
      <c r="E240" s="398"/>
      <c r="F240" s="386"/>
      <c r="G240" s="386"/>
      <c r="H240" s="386"/>
      <c r="I240" s="386"/>
      <c r="J240" s="386"/>
    </row>
    <row r="241" spans="1:10" ht="16.5">
      <c r="A241" s="398"/>
      <c r="B241" s="399"/>
      <c r="C241" s="385"/>
      <c r="D241" s="398"/>
      <c r="E241" s="398"/>
      <c r="F241" s="386"/>
      <c r="G241" s="386"/>
      <c r="H241" s="386"/>
      <c r="I241" s="386"/>
      <c r="J241" s="386"/>
    </row>
    <row r="242" spans="1:10" ht="16.5">
      <c r="A242" s="398"/>
      <c r="B242" s="399"/>
      <c r="C242" s="385"/>
      <c r="D242" s="398"/>
      <c r="E242" s="398"/>
      <c r="F242" s="386"/>
      <c r="G242" s="386"/>
      <c r="H242" s="386"/>
      <c r="I242" s="386"/>
      <c r="J242" s="386"/>
    </row>
    <row r="243" spans="1:10" ht="16.5">
      <c r="A243" s="398"/>
      <c r="B243" s="399"/>
      <c r="C243" s="385"/>
      <c r="D243" s="398"/>
      <c r="E243" s="398"/>
      <c r="F243" s="386"/>
      <c r="G243" s="386"/>
      <c r="H243" s="386"/>
      <c r="I243" s="386"/>
      <c r="J243" s="386"/>
    </row>
    <row r="244" spans="1:10" ht="16.5">
      <c r="A244" s="398"/>
      <c r="B244" s="399"/>
      <c r="C244" s="385"/>
      <c r="D244" s="398"/>
      <c r="E244" s="398"/>
      <c r="F244" s="386"/>
      <c r="G244" s="386"/>
      <c r="H244" s="386"/>
      <c r="I244" s="386"/>
      <c r="J244" s="386"/>
    </row>
    <row r="245" spans="1:10" ht="16.5">
      <c r="A245" s="398"/>
      <c r="B245" s="399"/>
      <c r="C245" s="385"/>
      <c r="D245" s="398"/>
      <c r="E245" s="398"/>
      <c r="F245" s="386"/>
      <c r="G245" s="386"/>
      <c r="H245" s="386"/>
      <c r="I245" s="386"/>
      <c r="J245" s="386"/>
    </row>
    <row r="246" spans="1:10" ht="16.5">
      <c r="A246" s="398"/>
      <c r="B246" s="399"/>
      <c r="C246" s="385"/>
      <c r="D246" s="398"/>
      <c r="E246" s="398"/>
      <c r="F246" s="386"/>
      <c r="G246" s="386"/>
      <c r="H246" s="386"/>
      <c r="I246" s="386"/>
      <c r="J246" s="386"/>
    </row>
    <row r="247" spans="1:10" ht="16.5">
      <c r="A247" s="398"/>
      <c r="B247" s="399"/>
      <c r="C247" s="385"/>
      <c r="D247" s="398"/>
      <c r="E247" s="398"/>
      <c r="F247" s="386"/>
      <c r="G247" s="386"/>
      <c r="H247" s="386"/>
      <c r="I247" s="386"/>
      <c r="J247" s="386"/>
    </row>
    <row r="248" spans="1:10" ht="16.5">
      <c r="A248" s="398"/>
      <c r="B248" s="399"/>
      <c r="C248" s="385"/>
      <c r="D248" s="398"/>
      <c r="E248" s="398"/>
      <c r="F248" s="386"/>
      <c r="G248" s="386"/>
      <c r="H248" s="386"/>
      <c r="I248" s="386"/>
      <c r="J248" s="386"/>
    </row>
    <row r="249" spans="1:10" ht="16.5">
      <c r="A249" s="398"/>
      <c r="B249" s="399"/>
      <c r="C249" s="385"/>
      <c r="D249" s="398"/>
      <c r="E249" s="398"/>
      <c r="F249" s="386"/>
      <c r="G249" s="386"/>
      <c r="H249" s="386"/>
      <c r="I249" s="386"/>
      <c r="J249" s="386"/>
    </row>
    <row r="250" spans="1:10" ht="16.5">
      <c r="A250" s="398"/>
      <c r="B250" s="399"/>
      <c r="C250" s="385"/>
      <c r="D250" s="398"/>
      <c r="E250" s="398"/>
      <c r="F250" s="386"/>
      <c r="G250" s="386"/>
      <c r="H250" s="386"/>
      <c r="I250" s="386"/>
      <c r="J250" s="386"/>
    </row>
    <row r="251" spans="1:10" ht="16.5">
      <c r="A251" s="398"/>
      <c r="B251" s="399"/>
      <c r="C251" s="385"/>
      <c r="D251" s="398"/>
      <c r="E251" s="398"/>
      <c r="F251" s="386"/>
      <c r="G251" s="386"/>
      <c r="H251" s="386"/>
      <c r="I251" s="386"/>
      <c r="J251" s="386"/>
    </row>
    <row r="252" spans="1:10" ht="16.5">
      <c r="A252" s="398"/>
      <c r="B252" s="399"/>
      <c r="C252" s="385"/>
      <c r="D252" s="398"/>
      <c r="E252" s="398"/>
      <c r="F252" s="386"/>
      <c r="G252" s="386"/>
      <c r="H252" s="386"/>
      <c r="I252" s="386"/>
      <c r="J252" s="386"/>
    </row>
    <row r="253" spans="1:10" ht="16.5">
      <c r="A253" s="398"/>
      <c r="B253" s="399"/>
      <c r="C253" s="385"/>
      <c r="D253" s="398"/>
      <c r="E253" s="398"/>
      <c r="F253" s="386"/>
      <c r="G253" s="386"/>
      <c r="H253" s="386"/>
      <c r="I253" s="386"/>
      <c r="J253" s="386"/>
    </row>
  </sheetData>
  <sheetProtection/>
  <mergeCells count="10">
    <mergeCell ref="G1:H1"/>
    <mergeCell ref="I1:J1"/>
    <mergeCell ref="B2:J2"/>
    <mergeCell ref="A3:J3"/>
    <mergeCell ref="E5:E6"/>
    <mergeCell ref="F5:J5"/>
    <mergeCell ref="A5:A6"/>
    <mergeCell ref="B5:B6"/>
    <mergeCell ref="C5:C6"/>
    <mergeCell ref="D5:D6"/>
  </mergeCells>
  <printOptions/>
  <pageMargins left="0.49" right="0.24" top="0.38" bottom="0.2" header="0.3" footer="0.2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1"/>
  <sheetViews>
    <sheetView zoomScale="85" zoomScaleNormal="85" zoomScalePageLayoutView="0" workbookViewId="0" topLeftCell="A1">
      <selection activeCell="I14" sqref="I14"/>
    </sheetView>
  </sheetViews>
  <sheetFormatPr defaultColWidth="9.140625" defaultRowHeight="12.75"/>
  <cols>
    <col min="1" max="1" width="6.421875" style="410" customWidth="1"/>
    <col min="2" max="2" width="36.421875" style="399" customWidth="1"/>
    <col min="3" max="3" width="13.140625" style="385" customWidth="1"/>
    <col min="4" max="5" width="14.8515625" style="398" customWidth="1"/>
    <col min="6" max="6" width="14.57421875" style="386" customWidth="1"/>
    <col min="7" max="7" width="13.7109375" style="386" customWidth="1"/>
    <col min="8" max="8" width="14.8515625" style="386" customWidth="1"/>
    <col min="9" max="9" width="14.28125" style="386" customWidth="1"/>
    <col min="10" max="10" width="15.8515625" style="386" customWidth="1"/>
    <col min="11" max="16384" width="9.140625" style="386" customWidth="1"/>
  </cols>
  <sheetData>
    <row r="1" spans="1:10" ht="33" customHeight="1">
      <c r="A1" s="386"/>
      <c r="B1" s="406" t="s">
        <v>359</v>
      </c>
      <c r="D1" s="385"/>
      <c r="E1" s="385"/>
      <c r="G1" s="974" t="s">
        <v>560</v>
      </c>
      <c r="H1" s="974"/>
      <c r="I1" s="965" t="s">
        <v>566</v>
      </c>
      <c r="J1" s="965"/>
    </row>
    <row r="2" spans="1:10" ht="27.75" customHeight="1">
      <c r="A2" s="386"/>
      <c r="B2" s="977" t="str">
        <f>'BM2(B)'!B2:J2</f>
        <v>Huyện Tuần Giáo</v>
      </c>
      <c r="C2" s="977"/>
      <c r="D2" s="977"/>
      <c r="E2" s="977"/>
      <c r="F2" s="977"/>
      <c r="G2" s="977"/>
      <c r="H2" s="977"/>
      <c r="I2" s="977"/>
      <c r="J2" s="977"/>
    </row>
    <row r="3" spans="1:10" ht="24" customHeight="1">
      <c r="A3" s="976" t="s">
        <v>668</v>
      </c>
      <c r="B3" s="976"/>
      <c r="C3" s="976"/>
      <c r="D3" s="976"/>
      <c r="E3" s="976"/>
      <c r="F3" s="976"/>
      <c r="G3" s="976"/>
      <c r="H3" s="976"/>
      <c r="I3" s="976"/>
      <c r="J3" s="976"/>
    </row>
    <row r="4" spans="1:10" ht="29.25" customHeight="1">
      <c r="A4" s="975" t="s">
        <v>0</v>
      </c>
      <c r="B4" s="969" t="s">
        <v>287</v>
      </c>
      <c r="C4" s="969" t="s">
        <v>184</v>
      </c>
      <c r="D4" s="961" t="s">
        <v>563</v>
      </c>
      <c r="E4" s="961" t="s">
        <v>554</v>
      </c>
      <c r="F4" s="971" t="s">
        <v>562</v>
      </c>
      <c r="G4" s="972"/>
      <c r="H4" s="972"/>
      <c r="I4" s="972"/>
      <c r="J4" s="973"/>
    </row>
    <row r="5" spans="1:10" s="406" customFormat="1" ht="30" customHeight="1">
      <c r="A5" s="975"/>
      <c r="B5" s="970"/>
      <c r="C5" s="970"/>
      <c r="D5" s="961"/>
      <c r="E5" s="961"/>
      <c r="F5" s="368" t="s">
        <v>555</v>
      </c>
      <c r="G5" s="368" t="s">
        <v>556</v>
      </c>
      <c r="H5" s="368" t="s">
        <v>557</v>
      </c>
      <c r="I5" s="368" t="s">
        <v>558</v>
      </c>
      <c r="J5" s="368" t="s">
        <v>559</v>
      </c>
    </row>
    <row r="6" spans="1:10" s="406" customFormat="1" ht="30" customHeight="1">
      <c r="A6" s="573" t="s">
        <v>101</v>
      </c>
      <c r="B6" s="394" t="s">
        <v>637</v>
      </c>
      <c r="C6" s="387" t="s">
        <v>32</v>
      </c>
      <c r="D6" s="728">
        <f>'BM3'!K6</f>
        <v>379.092</v>
      </c>
      <c r="E6" s="728">
        <f>SUM(F6:J6)/5</f>
        <v>488.04499047534716</v>
      </c>
      <c r="F6" s="728">
        <f>'BM3'!J6*('BM1CTTH(21-25)'!F13+100)/100</f>
        <v>414.21231755959957</v>
      </c>
      <c r="G6" s="728">
        <f>F6*('BM1CTTH(21-25)'!G13+100)/100</f>
        <v>445.7888034415697</v>
      </c>
      <c r="H6" s="728">
        <f>G6*('BM1CTTH(21-25)'!H13+100)/100</f>
        <v>482.00397946344987</v>
      </c>
      <c r="I6" s="728">
        <f>H6*('BM1CTTH(21-25)'!I13+100)/100</f>
        <v>523.5809892270879</v>
      </c>
      <c r="J6" s="728">
        <f>I6*('BM1CTTH(21-25)'!J13+100)/100</f>
        <v>574.638862685029</v>
      </c>
    </row>
    <row r="7" spans="1:10" ht="33.75" customHeight="1">
      <c r="A7" s="663" t="s">
        <v>102</v>
      </c>
      <c r="B7" s="664" t="s">
        <v>664</v>
      </c>
      <c r="C7" s="665"/>
      <c r="D7" s="630"/>
      <c r="E7" s="630"/>
      <c r="F7" s="630"/>
      <c r="G7" s="630"/>
      <c r="H7" s="630"/>
      <c r="I7" s="630"/>
      <c r="J7" s="630"/>
    </row>
    <row r="8" spans="1:10" ht="33.75" customHeight="1">
      <c r="A8" s="663"/>
      <c r="B8" s="667" t="s">
        <v>698</v>
      </c>
      <c r="C8" s="665" t="s">
        <v>699</v>
      </c>
      <c r="D8" s="630">
        <f>'BM3'!K8</f>
        <v>104.50687880047346</v>
      </c>
      <c r="E8" s="643">
        <f>SUM(F8:J8)/5</f>
        <v>144.59868638950525</v>
      </c>
      <c r="F8" s="643">
        <f>'BM3'!J8*100.5/100</f>
        <v>143.15991136737915</v>
      </c>
      <c r="G8" s="643">
        <f>F8*100.5/100</f>
        <v>143.87571092421607</v>
      </c>
      <c r="H8" s="643">
        <f>G8*100.5/100</f>
        <v>144.59508947883714</v>
      </c>
      <c r="I8" s="643">
        <f>H8*100.5/100</f>
        <v>145.31806492623133</v>
      </c>
      <c r="J8" s="643">
        <f>I8*100.5/100</f>
        <v>146.0446552508625</v>
      </c>
    </row>
    <row r="9" spans="1:10" ht="26.25" customHeight="1">
      <c r="A9" s="666"/>
      <c r="B9" s="667" t="s">
        <v>658</v>
      </c>
      <c r="C9" s="665" t="s">
        <v>659</v>
      </c>
      <c r="D9" s="630">
        <f>'BM3'!K9</f>
        <v>21820</v>
      </c>
      <c r="E9" s="643">
        <f>SUM(F9:J9)/5</f>
        <v>40000</v>
      </c>
      <c r="F9" s="643">
        <v>20000</v>
      </c>
      <c r="G9" s="643">
        <v>30000</v>
      </c>
      <c r="H9" s="643">
        <v>40000</v>
      </c>
      <c r="I9" s="643">
        <v>50000</v>
      </c>
      <c r="J9" s="643">
        <v>60000</v>
      </c>
    </row>
    <row r="10" spans="1:10" ht="26.25" customHeight="1">
      <c r="A10" s="666"/>
      <c r="B10" s="667" t="s">
        <v>667</v>
      </c>
      <c r="C10" s="665" t="s">
        <v>660</v>
      </c>
      <c r="D10" s="630">
        <f>'BM3'!K10</f>
        <v>20.4</v>
      </c>
      <c r="E10" s="643">
        <f>SUM(F10:J10)/5</f>
        <v>21</v>
      </c>
      <c r="F10" s="643">
        <v>21</v>
      </c>
      <c r="G10" s="643">
        <v>21</v>
      </c>
      <c r="H10" s="643">
        <v>21</v>
      </c>
      <c r="I10" s="643">
        <v>21</v>
      </c>
      <c r="J10" s="643">
        <v>21</v>
      </c>
    </row>
    <row r="11" spans="1:10" ht="26.25" customHeight="1">
      <c r="A11" s="666"/>
      <c r="B11" s="667" t="s">
        <v>661</v>
      </c>
      <c r="C11" s="665" t="s">
        <v>662</v>
      </c>
      <c r="D11" s="630">
        <f>'BM3'!K11</f>
        <v>700</v>
      </c>
      <c r="E11" s="643">
        <v>700</v>
      </c>
      <c r="F11" s="643">
        <v>700</v>
      </c>
      <c r="G11" s="643">
        <v>700</v>
      </c>
      <c r="H11" s="643">
        <v>700</v>
      </c>
      <c r="I11" s="643">
        <v>700</v>
      </c>
      <c r="J11" s="643">
        <v>700</v>
      </c>
    </row>
  </sheetData>
  <sheetProtection/>
  <mergeCells count="10">
    <mergeCell ref="G1:H1"/>
    <mergeCell ref="I1:J1"/>
    <mergeCell ref="B2:J2"/>
    <mergeCell ref="A3:J3"/>
    <mergeCell ref="E4:E5"/>
    <mergeCell ref="F4:J4"/>
    <mergeCell ref="A4:A5"/>
    <mergeCell ref="B4:B5"/>
    <mergeCell ref="C4:C5"/>
    <mergeCell ref="D4:D5"/>
  </mergeCells>
  <printOptions/>
  <pageMargins left="0.7" right="0.7" top="0.75" bottom="0.32" header="0.3" footer="0.3"/>
  <pageSetup horizontalDpi="600" verticalDpi="600" orientation="landscape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250"/>
  <sheetViews>
    <sheetView view="pageBreakPreview" zoomScale="85" zoomScaleNormal="85" zoomScaleSheetLayoutView="85" zoomScalePageLayoutView="0" workbookViewId="0" topLeftCell="A7">
      <selection activeCell="A3" sqref="A3:J3"/>
    </sheetView>
  </sheetViews>
  <sheetFormatPr defaultColWidth="9.140625" defaultRowHeight="12.75"/>
  <cols>
    <col min="1" max="1" width="6.421875" style="405" customWidth="1"/>
    <col min="2" max="2" width="39.28125" style="382" customWidth="1"/>
    <col min="3" max="3" width="12.8515625" style="383" customWidth="1"/>
    <col min="4" max="5" width="16.140625" style="405" customWidth="1"/>
    <col min="6" max="6" width="11.57421875" style="381" customWidth="1"/>
    <col min="7" max="7" width="12.8515625" style="381" customWidth="1"/>
    <col min="8" max="8" width="12.57421875" style="381" customWidth="1"/>
    <col min="9" max="9" width="14.421875" style="381" customWidth="1"/>
    <col min="10" max="10" width="14.8515625" style="381" customWidth="1"/>
    <col min="11" max="11" width="9.140625" style="381" customWidth="1"/>
    <col min="12" max="12" width="14.421875" style="381" bestFit="1" customWidth="1"/>
    <col min="13" max="13" width="10.140625" style="381" bestFit="1" customWidth="1"/>
    <col min="14" max="16384" width="9.140625" style="381" customWidth="1"/>
  </cols>
  <sheetData>
    <row r="1" spans="1:10" ht="25.5" customHeight="1">
      <c r="A1" s="381"/>
      <c r="B1" s="388" t="s">
        <v>363</v>
      </c>
      <c r="D1" s="383"/>
      <c r="E1" s="383"/>
      <c r="G1" s="965" t="s">
        <v>560</v>
      </c>
      <c r="H1" s="965"/>
      <c r="I1" s="1051" t="s">
        <v>566</v>
      </c>
      <c r="J1" s="1051"/>
    </row>
    <row r="2" spans="1:10" ht="21" customHeight="1">
      <c r="A2" s="381"/>
      <c r="B2" s="966" t="str">
        <f>+'BM3(B)'!B2:J2</f>
        <v>Huyện Tuần Giáo</v>
      </c>
      <c r="C2" s="966"/>
      <c r="D2" s="966"/>
      <c r="E2" s="966"/>
      <c r="F2" s="966"/>
      <c r="G2" s="966"/>
      <c r="H2" s="966"/>
      <c r="I2" s="966"/>
      <c r="J2" s="966"/>
    </row>
    <row r="3" spans="1:10" ht="26.25" customHeight="1">
      <c r="A3" s="976" t="s">
        <v>676</v>
      </c>
      <c r="B3" s="976"/>
      <c r="C3" s="976"/>
      <c r="D3" s="976"/>
      <c r="E3" s="976"/>
      <c r="F3" s="976"/>
      <c r="G3" s="976"/>
      <c r="H3" s="976"/>
      <c r="I3" s="976"/>
      <c r="J3" s="976"/>
    </row>
    <row r="4" spans="1:10" ht="20.25" customHeight="1">
      <c r="A4" s="515"/>
      <c r="B4" s="515"/>
      <c r="C4" s="515"/>
      <c r="D4" s="515"/>
      <c r="E4" s="515"/>
      <c r="F4" s="515"/>
      <c r="G4" s="515"/>
      <c r="H4" s="515"/>
      <c r="I4" s="515"/>
      <c r="J4" s="515"/>
    </row>
    <row r="5" spans="1:10" ht="25.5" customHeight="1">
      <c r="A5" s="969" t="s">
        <v>0</v>
      </c>
      <c r="B5" s="969" t="s">
        <v>287</v>
      </c>
      <c r="C5" s="969" t="s">
        <v>184</v>
      </c>
      <c r="D5" s="1052" t="s">
        <v>563</v>
      </c>
      <c r="E5" s="1052" t="s">
        <v>554</v>
      </c>
      <c r="F5" s="971" t="s">
        <v>562</v>
      </c>
      <c r="G5" s="972"/>
      <c r="H5" s="972"/>
      <c r="I5" s="972"/>
      <c r="J5" s="973"/>
    </row>
    <row r="6" spans="1:10" s="415" customFormat="1" ht="35.25" customHeight="1">
      <c r="A6" s="970"/>
      <c r="B6" s="970"/>
      <c r="C6" s="970"/>
      <c r="D6" s="1052"/>
      <c r="E6" s="1052"/>
      <c r="F6" s="368" t="s">
        <v>555</v>
      </c>
      <c r="G6" s="368" t="s">
        <v>556</v>
      </c>
      <c r="H6" s="368" t="s">
        <v>557</v>
      </c>
      <c r="I6" s="368" t="s">
        <v>558</v>
      </c>
      <c r="J6" s="368" t="s">
        <v>559</v>
      </c>
    </row>
    <row r="7" spans="1:11" s="408" customFormat="1" ht="28.5" customHeight="1">
      <c r="A7" s="416" t="s">
        <v>368</v>
      </c>
      <c r="B7" s="417" t="s">
        <v>369</v>
      </c>
      <c r="C7" s="418"/>
      <c r="D7" s="731"/>
      <c r="E7" s="731"/>
      <c r="F7" s="732"/>
      <c r="G7" s="732"/>
      <c r="H7" s="732"/>
      <c r="I7" s="732"/>
      <c r="J7" s="732"/>
      <c r="K7" s="409"/>
    </row>
    <row r="8" spans="1:11" s="386" customFormat="1" ht="34.5" customHeight="1">
      <c r="A8" s="533"/>
      <c r="B8" s="588" t="s">
        <v>636</v>
      </c>
      <c r="C8" s="589" t="s">
        <v>347</v>
      </c>
      <c r="D8" s="669">
        <f>'BM4'!K7</f>
        <v>921.6299999999999</v>
      </c>
      <c r="E8" s="669">
        <f>SUM(F8:J8)/5</f>
        <v>1481.2</v>
      </c>
      <c r="F8" s="669">
        <v>1334</v>
      </c>
      <c r="G8" s="669">
        <v>1408</v>
      </c>
      <c r="H8" s="669">
        <v>1481</v>
      </c>
      <c r="I8" s="669">
        <v>1555</v>
      </c>
      <c r="J8" s="669">
        <v>1628</v>
      </c>
      <c r="K8" s="413"/>
    </row>
    <row r="9" spans="1:11" s="386" customFormat="1" ht="45" customHeight="1">
      <c r="A9" s="423"/>
      <c r="B9" s="593" t="s">
        <v>370</v>
      </c>
      <c r="C9" s="424" t="s">
        <v>303</v>
      </c>
      <c r="D9" s="669">
        <f>'BM4'!K8</f>
        <v>11.098239339224868</v>
      </c>
      <c r="E9" s="669">
        <f>SUM(F9:J9)/5</f>
        <v>5.244</v>
      </c>
      <c r="F9" s="505">
        <v>5.82</v>
      </c>
      <c r="G9" s="505">
        <v>5.5</v>
      </c>
      <c r="H9" s="505">
        <v>5.22</v>
      </c>
      <c r="I9" s="505">
        <v>4.96</v>
      </c>
      <c r="J9" s="505">
        <v>4.72</v>
      </c>
      <c r="K9" s="399"/>
    </row>
    <row r="10" spans="1:11" s="408" customFormat="1" ht="24.75" customHeight="1">
      <c r="A10" s="389" t="s">
        <v>371</v>
      </c>
      <c r="B10" s="394" t="s">
        <v>372</v>
      </c>
      <c r="C10" s="387"/>
      <c r="D10" s="431"/>
      <c r="E10" s="505"/>
      <c r="F10" s="431"/>
      <c r="G10" s="431"/>
      <c r="H10" s="431"/>
      <c r="I10" s="431"/>
      <c r="J10" s="431"/>
      <c r="K10" s="406"/>
    </row>
    <row r="11" spans="1:11" s="386" customFormat="1" ht="36" customHeight="1">
      <c r="A11" s="423"/>
      <c r="B11" s="425" t="s">
        <v>373</v>
      </c>
      <c r="C11" s="424" t="s">
        <v>303</v>
      </c>
      <c r="D11" s="505">
        <f>'[5]BM5'!K11</f>
        <v>30.198</v>
      </c>
      <c r="E11" s="505">
        <f>(F11+G11+H11+I11+J11)/5</f>
        <v>10.7</v>
      </c>
      <c r="F11" s="505">
        <v>12</v>
      </c>
      <c r="G11" s="505">
        <v>11.5</v>
      </c>
      <c r="H11" s="505">
        <v>11</v>
      </c>
      <c r="I11" s="505">
        <v>10</v>
      </c>
      <c r="J11" s="505">
        <v>9</v>
      </c>
      <c r="K11" s="406"/>
    </row>
    <row r="12" spans="1:11" s="386" customFormat="1" ht="36" customHeight="1">
      <c r="A12" s="423"/>
      <c r="B12" s="425" t="s">
        <v>374</v>
      </c>
      <c r="C12" s="424" t="s">
        <v>303</v>
      </c>
      <c r="D12" s="505">
        <f>'[5]BM5'!K12</f>
        <v>18.44</v>
      </c>
      <c r="E12" s="505">
        <f>(F12+G12+H12+I12+J12)/5</f>
        <v>9.8</v>
      </c>
      <c r="F12" s="505">
        <v>11</v>
      </c>
      <c r="G12" s="505">
        <v>10.5</v>
      </c>
      <c r="H12" s="505">
        <v>10</v>
      </c>
      <c r="I12" s="505">
        <v>9</v>
      </c>
      <c r="J12" s="505">
        <v>8.5</v>
      </c>
      <c r="K12" s="406"/>
    </row>
    <row r="13" spans="1:11" s="386" customFormat="1" ht="36" customHeight="1">
      <c r="A13" s="423"/>
      <c r="B13" s="425" t="s">
        <v>375</v>
      </c>
      <c r="C13" s="424" t="s">
        <v>303</v>
      </c>
      <c r="D13" s="505">
        <f>'[5]BM5'!K13</f>
        <v>10.675999999999998</v>
      </c>
      <c r="E13" s="505">
        <f>(F13+G13+H13+I13+J13)/5</f>
        <v>10.8</v>
      </c>
      <c r="F13" s="505">
        <v>10</v>
      </c>
      <c r="G13" s="505">
        <v>10.5</v>
      </c>
      <c r="H13" s="505">
        <v>10.5</v>
      </c>
      <c r="I13" s="505">
        <v>11</v>
      </c>
      <c r="J13" s="505">
        <v>12</v>
      </c>
      <c r="K13" s="406"/>
    </row>
    <row r="14" spans="1:11" s="386" customFormat="1" ht="36" customHeight="1">
      <c r="A14" s="423"/>
      <c r="B14" s="425" t="s">
        <v>376</v>
      </c>
      <c r="C14" s="424" t="s">
        <v>303</v>
      </c>
      <c r="D14" s="505">
        <f>'[5]BM5'!K14</f>
        <v>9.54</v>
      </c>
      <c r="E14" s="505">
        <f>(F14+G14+H14+I14+J14)/5</f>
        <v>10.2</v>
      </c>
      <c r="F14" s="505">
        <v>9.5</v>
      </c>
      <c r="G14" s="505">
        <v>10</v>
      </c>
      <c r="H14" s="505">
        <v>10</v>
      </c>
      <c r="I14" s="505">
        <v>10.5</v>
      </c>
      <c r="J14" s="505">
        <v>11</v>
      </c>
      <c r="K14" s="406"/>
    </row>
    <row r="15" spans="1:20" s="408" customFormat="1" ht="27.75" customHeight="1">
      <c r="A15" s="389" t="s">
        <v>377</v>
      </c>
      <c r="B15" s="390" t="s">
        <v>378</v>
      </c>
      <c r="C15" s="387"/>
      <c r="D15" s="549"/>
      <c r="E15" s="549"/>
      <c r="F15" s="550"/>
      <c r="G15" s="550"/>
      <c r="H15" s="550"/>
      <c r="I15" s="550"/>
      <c r="J15" s="550"/>
      <c r="P15" s="406"/>
      <c r="Q15" s="406"/>
      <c r="R15" s="406"/>
      <c r="S15" s="406"/>
      <c r="T15" s="406"/>
    </row>
    <row r="16" spans="1:10" s="386" customFormat="1" ht="27" customHeight="1">
      <c r="A16" s="423"/>
      <c r="B16" s="425" t="s">
        <v>379</v>
      </c>
      <c r="C16" s="424" t="s">
        <v>306</v>
      </c>
      <c r="D16" s="474">
        <f>'BM4'!K15</f>
        <v>56.60211733093585</v>
      </c>
      <c r="E16" s="505">
        <f>(F16+G16+H16+I16+J16)/5</f>
        <v>58.7986615064399</v>
      </c>
      <c r="F16" s="871">
        <f>(470+54000)*100/'BM1CTTH(21-25)'!F68</f>
        <v>59.969173180667184</v>
      </c>
      <c r="G16" s="871">
        <f>(470+54250)*100/'BM1CTTH(21-25)'!G68</f>
        <v>59.394334093129274</v>
      </c>
      <c r="H16" s="871">
        <f>(470+54500)*100/'BM1CTTH(21-25)'!H68</f>
        <v>58.81660603466724</v>
      </c>
      <c r="I16" s="871">
        <f>(470+54750)*100/'BM1CTTH(21-25)'!I68</f>
        <v>58.20596605881733</v>
      </c>
      <c r="J16" s="871">
        <f>(470+55000)*100/'BM1CTTH(21-25)'!J68</f>
        <v>57.607228164918475</v>
      </c>
    </row>
    <row r="17" spans="1:10" s="386" customFormat="1" ht="37.5" customHeight="1">
      <c r="A17" s="395"/>
      <c r="B17" s="425" t="s">
        <v>298</v>
      </c>
      <c r="C17" s="424" t="s">
        <v>306</v>
      </c>
      <c r="D17" s="474">
        <f>'BM4'!K16</f>
        <v>2.776496105143015</v>
      </c>
      <c r="E17" s="505">
        <f>(F17+G17+H17+I17+J17)/5</f>
        <v>4.59698192254015</v>
      </c>
      <c r="F17" s="871">
        <f>4100*100/'BM1CTTH(21-25)'!F68</f>
        <v>4.513927116591435</v>
      </c>
      <c r="G17" s="871">
        <f>4200*100/'BM1CTTH(21-25)'!G68</f>
        <v>4.558775643112993</v>
      </c>
      <c r="H17" s="871">
        <f>4300*100/'BM1CTTH(21-25)'!H68</f>
        <v>4.600898780226835</v>
      </c>
      <c r="I17" s="871">
        <f>4400*100/'BM1CTTH(21-25)'!I68</f>
        <v>4.637925582375883</v>
      </c>
      <c r="J17" s="871">
        <f>4500*100/'BM1CTTH(21-25)'!J68</f>
        <v>4.673382490393602</v>
      </c>
    </row>
    <row r="18" spans="1:10" s="408" customFormat="1" ht="24.75" customHeight="1">
      <c r="A18" s="389" t="s">
        <v>380</v>
      </c>
      <c r="B18" s="390" t="s">
        <v>381</v>
      </c>
      <c r="C18" s="387"/>
      <c r="D18" s="549"/>
      <c r="E18" s="549"/>
      <c r="F18" s="550"/>
      <c r="G18" s="550"/>
      <c r="H18" s="550"/>
      <c r="I18" s="550"/>
      <c r="J18" s="550"/>
    </row>
    <row r="19" spans="1:12" s="517" customFormat="1" ht="28.5" customHeight="1">
      <c r="A19" s="428"/>
      <c r="B19" s="429" t="s">
        <v>627</v>
      </c>
      <c r="C19" s="427" t="s">
        <v>626</v>
      </c>
      <c r="D19" s="534"/>
      <c r="E19" s="534"/>
      <c r="F19" s="534"/>
      <c r="G19" s="534"/>
      <c r="H19" s="534"/>
      <c r="I19" s="534"/>
      <c r="J19" s="534"/>
      <c r="K19" s="516"/>
      <c r="L19" s="562"/>
    </row>
    <row r="20" spans="1:12" s="517" customFormat="1" ht="36" customHeight="1">
      <c r="A20" s="428"/>
      <c r="B20" s="429" t="s">
        <v>628</v>
      </c>
      <c r="C20" s="535" t="s">
        <v>470</v>
      </c>
      <c r="D20" s="534"/>
      <c r="E20" s="534"/>
      <c r="F20" s="534"/>
      <c r="G20" s="534"/>
      <c r="H20" s="534"/>
      <c r="I20" s="534"/>
      <c r="J20" s="534"/>
      <c r="L20" s="562"/>
    </row>
    <row r="21" spans="1:12" s="517" customFormat="1" ht="36" customHeight="1">
      <c r="A21" s="428"/>
      <c r="B21" s="429" t="s">
        <v>629</v>
      </c>
      <c r="C21" s="535" t="s">
        <v>470</v>
      </c>
      <c r="D21" s="534"/>
      <c r="E21" s="534"/>
      <c r="F21" s="534"/>
      <c r="G21" s="534"/>
      <c r="H21" s="534"/>
      <c r="I21" s="534"/>
      <c r="J21" s="534"/>
      <c r="L21" s="562"/>
    </row>
    <row r="22" spans="1:12" s="508" customFormat="1" ht="30" customHeight="1">
      <c r="A22" s="428"/>
      <c r="B22" s="429" t="s">
        <v>550</v>
      </c>
      <c r="C22" s="535" t="s">
        <v>347</v>
      </c>
      <c r="D22" s="534"/>
      <c r="E22" s="534"/>
      <c r="F22" s="534"/>
      <c r="G22" s="534"/>
      <c r="H22" s="534"/>
      <c r="I22" s="534"/>
      <c r="J22" s="534"/>
      <c r="L22" s="562"/>
    </row>
    <row r="23" spans="1:10" ht="16.5">
      <c r="A23" s="398"/>
      <c r="B23" s="399"/>
      <c r="C23" s="385"/>
      <c r="D23" s="398"/>
      <c r="E23" s="398"/>
      <c r="F23" s="386"/>
      <c r="G23" s="386"/>
      <c r="H23" s="386"/>
      <c r="I23" s="386"/>
      <c r="J23" s="386"/>
    </row>
    <row r="24" spans="1:10" ht="16.5">
      <c r="A24" s="398"/>
      <c r="B24" s="399"/>
      <c r="C24" s="385"/>
      <c r="D24" s="398"/>
      <c r="E24" s="398"/>
      <c r="F24" s="386"/>
      <c r="G24" s="386"/>
      <c r="H24" s="386"/>
      <c r="I24" s="386"/>
      <c r="J24" s="386"/>
    </row>
    <row r="25" spans="1:10" ht="16.5">
      <c r="A25" s="398"/>
      <c r="B25" s="399"/>
      <c r="C25" s="385"/>
      <c r="D25" s="398"/>
      <c r="E25" s="398"/>
      <c r="F25" s="386"/>
      <c r="G25" s="386"/>
      <c r="H25" s="386"/>
      <c r="I25" s="386"/>
      <c r="J25" s="386"/>
    </row>
    <row r="26" spans="1:10" ht="16.5">
      <c r="A26" s="398"/>
      <c r="B26" s="399"/>
      <c r="C26" s="385"/>
      <c r="D26" s="398"/>
      <c r="E26" s="398"/>
      <c r="F26" s="386"/>
      <c r="G26" s="386"/>
      <c r="H26" s="386"/>
      <c r="I26" s="386"/>
      <c r="J26" s="386"/>
    </row>
    <row r="27" spans="1:10" ht="16.5">
      <c r="A27" s="398"/>
      <c r="B27" s="399"/>
      <c r="C27" s="385"/>
      <c r="D27" s="398"/>
      <c r="E27" s="398"/>
      <c r="F27" s="386"/>
      <c r="G27" s="386"/>
      <c r="H27" s="386"/>
      <c r="I27" s="386"/>
      <c r="J27" s="386"/>
    </row>
    <row r="28" spans="1:10" ht="16.5">
      <c r="A28" s="398"/>
      <c r="B28" s="399"/>
      <c r="C28" s="385"/>
      <c r="D28" s="398"/>
      <c r="E28" s="398"/>
      <c r="F28" s="386"/>
      <c r="G28" s="386"/>
      <c r="H28" s="386"/>
      <c r="I28" s="386"/>
      <c r="J28" s="386"/>
    </row>
    <row r="29" spans="1:10" ht="12.75" customHeight="1">
      <c r="A29" s="398"/>
      <c r="B29" s="399"/>
      <c r="C29" s="385"/>
      <c r="D29" s="398"/>
      <c r="E29" s="398"/>
      <c r="F29" s="386"/>
      <c r="G29" s="386"/>
      <c r="H29" s="386"/>
      <c r="I29" s="386"/>
      <c r="J29" s="386"/>
    </row>
    <row r="30" spans="1:10" ht="16.5">
      <c r="A30" s="398"/>
      <c r="B30" s="399"/>
      <c r="C30" s="385"/>
      <c r="D30" s="398"/>
      <c r="E30" s="398"/>
      <c r="F30" s="386"/>
      <c r="G30" s="386"/>
      <c r="H30" s="386"/>
      <c r="I30" s="386"/>
      <c r="J30" s="386"/>
    </row>
    <row r="31" spans="1:10" ht="16.5">
      <c r="A31" s="398"/>
      <c r="B31" s="399"/>
      <c r="C31" s="385"/>
      <c r="D31" s="398"/>
      <c r="E31" s="398"/>
      <c r="F31" s="386"/>
      <c r="G31" s="386"/>
      <c r="H31" s="386"/>
      <c r="I31" s="386"/>
      <c r="J31" s="386"/>
    </row>
    <row r="32" spans="1:10" ht="16.5">
      <c r="A32" s="398"/>
      <c r="B32" s="399"/>
      <c r="C32" s="385"/>
      <c r="D32" s="398"/>
      <c r="E32" s="398"/>
      <c r="F32" s="386"/>
      <c r="G32" s="386"/>
      <c r="H32" s="386"/>
      <c r="I32" s="386"/>
      <c r="J32" s="386"/>
    </row>
    <row r="33" spans="1:20" ht="16.5">
      <c r="A33" s="398"/>
      <c r="B33" s="402"/>
      <c r="C33" s="385"/>
      <c r="D33" s="398"/>
      <c r="E33" s="398"/>
      <c r="F33" s="413"/>
      <c r="G33" s="386"/>
      <c r="H33" s="386"/>
      <c r="I33" s="386"/>
      <c r="J33" s="386"/>
      <c r="K33" s="397"/>
      <c r="L33" s="396"/>
      <c r="N33" s="397"/>
      <c r="O33" s="396"/>
      <c r="Q33" s="397"/>
      <c r="R33" s="396"/>
      <c r="T33" s="397"/>
    </row>
    <row r="34" spans="1:10" ht="16.5">
      <c r="A34" s="398"/>
      <c r="B34" s="399"/>
      <c r="C34" s="385"/>
      <c r="D34" s="398"/>
      <c r="E34" s="398"/>
      <c r="F34" s="386"/>
      <c r="G34" s="386"/>
      <c r="H34" s="386"/>
      <c r="I34" s="386"/>
      <c r="J34" s="386"/>
    </row>
    <row r="35" spans="1:10" ht="16.5">
      <c r="A35" s="398"/>
      <c r="B35" s="399"/>
      <c r="C35" s="385"/>
      <c r="D35" s="398"/>
      <c r="E35" s="398"/>
      <c r="F35" s="386"/>
      <c r="G35" s="386"/>
      <c r="H35" s="386"/>
      <c r="I35" s="386"/>
      <c r="J35" s="386"/>
    </row>
    <row r="36" spans="1:10" ht="16.5">
      <c r="A36" s="398"/>
      <c r="B36" s="399"/>
      <c r="C36" s="385"/>
      <c r="D36" s="398"/>
      <c r="E36" s="398"/>
      <c r="F36" s="386"/>
      <c r="G36" s="386"/>
      <c r="H36" s="386"/>
      <c r="I36" s="386"/>
      <c r="J36" s="386"/>
    </row>
    <row r="37" spans="1:10" ht="16.5">
      <c r="A37" s="398"/>
      <c r="B37" s="399"/>
      <c r="C37" s="385"/>
      <c r="D37" s="398"/>
      <c r="E37" s="398"/>
      <c r="F37" s="386"/>
      <c r="G37" s="386"/>
      <c r="H37" s="386"/>
      <c r="I37" s="386"/>
      <c r="J37" s="386"/>
    </row>
    <row r="38" spans="1:10" ht="16.5">
      <c r="A38" s="398"/>
      <c r="B38" s="399"/>
      <c r="C38" s="385"/>
      <c r="D38" s="398"/>
      <c r="E38" s="398"/>
      <c r="F38" s="386"/>
      <c r="G38" s="386"/>
      <c r="H38" s="386"/>
      <c r="I38" s="386"/>
      <c r="J38" s="386"/>
    </row>
    <row r="39" spans="1:10" ht="16.5">
      <c r="A39" s="398"/>
      <c r="B39" s="399"/>
      <c r="C39" s="385"/>
      <c r="D39" s="398"/>
      <c r="E39" s="398"/>
      <c r="F39" s="386"/>
      <c r="G39" s="386"/>
      <c r="H39" s="386"/>
      <c r="I39" s="386"/>
      <c r="J39" s="386"/>
    </row>
    <row r="40" spans="1:10" ht="16.5">
      <c r="A40" s="398"/>
      <c r="B40" s="399"/>
      <c r="C40" s="385"/>
      <c r="D40" s="398"/>
      <c r="E40" s="398"/>
      <c r="F40" s="386"/>
      <c r="G40" s="386"/>
      <c r="H40" s="386"/>
      <c r="I40" s="386"/>
      <c r="J40" s="386"/>
    </row>
    <row r="41" spans="1:10" ht="16.5">
      <c r="A41" s="398"/>
      <c r="B41" s="399"/>
      <c r="C41" s="385"/>
      <c r="D41" s="398"/>
      <c r="E41" s="398"/>
      <c r="F41" s="386"/>
      <c r="G41" s="386"/>
      <c r="H41" s="386"/>
      <c r="I41" s="386"/>
      <c r="J41" s="386"/>
    </row>
    <row r="42" spans="1:10" ht="16.5">
      <c r="A42" s="398"/>
      <c r="B42" s="399"/>
      <c r="C42" s="385"/>
      <c r="D42" s="398"/>
      <c r="E42" s="398"/>
      <c r="F42" s="386"/>
      <c r="G42" s="386"/>
      <c r="H42" s="386"/>
      <c r="I42" s="386"/>
      <c r="J42" s="386"/>
    </row>
    <row r="43" spans="1:10" ht="16.5">
      <c r="A43" s="398"/>
      <c r="B43" s="399"/>
      <c r="C43" s="385"/>
      <c r="D43" s="398"/>
      <c r="E43" s="398"/>
      <c r="F43" s="386"/>
      <c r="G43" s="386"/>
      <c r="H43" s="386"/>
      <c r="I43" s="386"/>
      <c r="J43" s="386"/>
    </row>
    <row r="44" spans="1:10" ht="16.5">
      <c r="A44" s="398"/>
      <c r="B44" s="399"/>
      <c r="C44" s="385"/>
      <c r="D44" s="398"/>
      <c r="E44" s="398"/>
      <c r="F44" s="386"/>
      <c r="G44" s="386"/>
      <c r="H44" s="386"/>
      <c r="I44" s="386"/>
      <c r="J44" s="386"/>
    </row>
    <row r="45" spans="1:10" ht="16.5">
      <c r="A45" s="398"/>
      <c r="B45" s="399"/>
      <c r="C45" s="385"/>
      <c r="D45" s="398"/>
      <c r="E45" s="398"/>
      <c r="F45" s="386"/>
      <c r="G45" s="386"/>
      <c r="H45" s="386"/>
      <c r="I45" s="386"/>
      <c r="J45" s="386"/>
    </row>
    <row r="46" spans="1:10" ht="16.5">
      <c r="A46" s="398"/>
      <c r="B46" s="399"/>
      <c r="C46" s="385"/>
      <c r="D46" s="398"/>
      <c r="E46" s="398"/>
      <c r="F46" s="386"/>
      <c r="G46" s="386"/>
      <c r="H46" s="386"/>
      <c r="I46" s="386"/>
      <c r="J46" s="386"/>
    </row>
    <row r="47" spans="1:10" ht="16.5">
      <c r="A47" s="398"/>
      <c r="B47" s="399"/>
      <c r="C47" s="385"/>
      <c r="D47" s="398"/>
      <c r="E47" s="398"/>
      <c r="F47" s="386"/>
      <c r="G47" s="386"/>
      <c r="H47" s="386"/>
      <c r="I47" s="386"/>
      <c r="J47" s="386"/>
    </row>
    <row r="48" spans="1:10" ht="16.5">
      <c r="A48" s="398"/>
      <c r="B48" s="399"/>
      <c r="C48" s="385"/>
      <c r="D48" s="398"/>
      <c r="E48" s="398"/>
      <c r="F48" s="386"/>
      <c r="G48" s="386"/>
      <c r="H48" s="386"/>
      <c r="I48" s="386"/>
      <c r="J48" s="386"/>
    </row>
    <row r="49" spans="1:10" ht="16.5">
      <c r="A49" s="398"/>
      <c r="B49" s="399"/>
      <c r="C49" s="385"/>
      <c r="D49" s="398"/>
      <c r="E49" s="398"/>
      <c r="F49" s="386"/>
      <c r="G49" s="386"/>
      <c r="H49" s="386"/>
      <c r="I49" s="386"/>
      <c r="J49" s="386"/>
    </row>
    <row r="50" spans="1:10" ht="16.5">
      <c r="A50" s="398"/>
      <c r="B50" s="399"/>
      <c r="C50" s="385"/>
      <c r="D50" s="398"/>
      <c r="E50" s="398"/>
      <c r="F50" s="386"/>
      <c r="G50" s="386"/>
      <c r="H50" s="386"/>
      <c r="I50" s="386"/>
      <c r="J50" s="386"/>
    </row>
    <row r="51" spans="1:10" ht="16.5">
      <c r="A51" s="398"/>
      <c r="B51" s="399"/>
      <c r="C51" s="385"/>
      <c r="D51" s="398"/>
      <c r="E51" s="398"/>
      <c r="F51" s="386"/>
      <c r="G51" s="386"/>
      <c r="H51" s="386"/>
      <c r="I51" s="386"/>
      <c r="J51" s="386"/>
    </row>
    <row r="52" spans="1:10" ht="16.5">
      <c r="A52" s="398"/>
      <c r="B52" s="399"/>
      <c r="C52" s="385"/>
      <c r="D52" s="398"/>
      <c r="E52" s="398"/>
      <c r="F52" s="386"/>
      <c r="G52" s="386"/>
      <c r="H52" s="386"/>
      <c r="I52" s="386"/>
      <c r="J52" s="386"/>
    </row>
    <row r="53" spans="1:10" ht="16.5">
      <c r="A53" s="398"/>
      <c r="B53" s="399"/>
      <c r="C53" s="385"/>
      <c r="D53" s="398"/>
      <c r="E53" s="398"/>
      <c r="F53" s="386"/>
      <c r="G53" s="386"/>
      <c r="H53" s="386"/>
      <c r="I53" s="386"/>
      <c r="J53" s="386"/>
    </row>
    <row r="54" spans="1:10" ht="16.5">
      <c r="A54" s="398"/>
      <c r="B54" s="399"/>
      <c r="C54" s="385"/>
      <c r="D54" s="398"/>
      <c r="E54" s="398"/>
      <c r="F54" s="386"/>
      <c r="G54" s="386"/>
      <c r="H54" s="386"/>
      <c r="I54" s="386"/>
      <c r="J54" s="386"/>
    </row>
    <row r="55" spans="1:10" ht="16.5">
      <c r="A55" s="398"/>
      <c r="B55" s="399"/>
      <c r="C55" s="385"/>
      <c r="D55" s="398"/>
      <c r="E55" s="398"/>
      <c r="F55" s="386"/>
      <c r="G55" s="386"/>
      <c r="H55" s="386"/>
      <c r="I55" s="386"/>
      <c r="J55" s="386"/>
    </row>
    <row r="56" spans="1:10" ht="16.5">
      <c r="A56" s="398"/>
      <c r="B56" s="399"/>
      <c r="C56" s="385"/>
      <c r="D56" s="398"/>
      <c r="E56" s="398"/>
      <c r="F56" s="386"/>
      <c r="G56" s="386"/>
      <c r="H56" s="386"/>
      <c r="I56" s="386"/>
      <c r="J56" s="386"/>
    </row>
    <row r="57" spans="1:10" ht="16.5">
      <c r="A57" s="398"/>
      <c r="B57" s="399"/>
      <c r="C57" s="385"/>
      <c r="D57" s="398"/>
      <c r="E57" s="398"/>
      <c r="F57" s="386"/>
      <c r="G57" s="386"/>
      <c r="H57" s="386"/>
      <c r="I57" s="386"/>
      <c r="J57" s="386"/>
    </row>
    <row r="58" spans="1:10" ht="16.5">
      <c r="A58" s="398"/>
      <c r="B58" s="399"/>
      <c r="C58" s="385"/>
      <c r="D58" s="398"/>
      <c r="E58" s="398"/>
      <c r="F58" s="386"/>
      <c r="G58" s="386"/>
      <c r="H58" s="386"/>
      <c r="I58" s="386"/>
      <c r="J58" s="386"/>
    </row>
    <row r="59" spans="1:10" ht="16.5">
      <c r="A59" s="398"/>
      <c r="B59" s="399"/>
      <c r="C59" s="385"/>
      <c r="D59" s="398"/>
      <c r="E59" s="398"/>
      <c r="F59" s="386"/>
      <c r="G59" s="386"/>
      <c r="H59" s="386"/>
      <c r="I59" s="386"/>
      <c r="J59" s="386"/>
    </row>
    <row r="60" spans="1:10" ht="16.5">
      <c r="A60" s="398"/>
      <c r="B60" s="399"/>
      <c r="C60" s="385"/>
      <c r="D60" s="398"/>
      <c r="E60" s="398"/>
      <c r="F60" s="386"/>
      <c r="G60" s="386"/>
      <c r="H60" s="386"/>
      <c r="I60" s="386"/>
      <c r="J60" s="386"/>
    </row>
    <row r="61" spans="1:10" ht="16.5">
      <c r="A61" s="398"/>
      <c r="B61" s="399"/>
      <c r="C61" s="385"/>
      <c r="D61" s="398"/>
      <c r="E61" s="398"/>
      <c r="F61" s="386"/>
      <c r="G61" s="386"/>
      <c r="H61" s="386"/>
      <c r="I61" s="386"/>
      <c r="J61" s="386"/>
    </row>
    <row r="62" spans="1:10" ht="16.5">
      <c r="A62" s="398"/>
      <c r="B62" s="399"/>
      <c r="C62" s="385"/>
      <c r="D62" s="398"/>
      <c r="E62" s="398"/>
      <c r="F62" s="386"/>
      <c r="G62" s="386"/>
      <c r="H62" s="386"/>
      <c r="I62" s="386"/>
      <c r="J62" s="386"/>
    </row>
    <row r="63" spans="1:10" ht="16.5">
      <c r="A63" s="398"/>
      <c r="B63" s="399"/>
      <c r="C63" s="385"/>
      <c r="D63" s="398"/>
      <c r="E63" s="398"/>
      <c r="F63" s="386"/>
      <c r="G63" s="386"/>
      <c r="H63" s="386"/>
      <c r="I63" s="386"/>
      <c r="J63" s="386"/>
    </row>
    <row r="64" spans="1:10" ht="16.5">
      <c r="A64" s="398"/>
      <c r="B64" s="399"/>
      <c r="C64" s="385"/>
      <c r="D64" s="398"/>
      <c r="E64" s="398"/>
      <c r="F64" s="386"/>
      <c r="G64" s="386"/>
      <c r="H64" s="386"/>
      <c r="I64" s="386"/>
      <c r="J64" s="386"/>
    </row>
    <row r="65" spans="1:10" ht="16.5">
      <c r="A65" s="398"/>
      <c r="B65" s="399"/>
      <c r="C65" s="385"/>
      <c r="D65" s="398"/>
      <c r="E65" s="398"/>
      <c r="F65" s="386"/>
      <c r="G65" s="386"/>
      <c r="H65" s="386"/>
      <c r="I65" s="386"/>
      <c r="J65" s="386"/>
    </row>
    <row r="66" spans="1:10" ht="16.5">
      <c r="A66" s="398"/>
      <c r="B66" s="399"/>
      <c r="C66" s="385"/>
      <c r="D66" s="398"/>
      <c r="E66" s="398"/>
      <c r="F66" s="386"/>
      <c r="G66" s="386"/>
      <c r="H66" s="386"/>
      <c r="I66" s="386"/>
      <c r="J66" s="386"/>
    </row>
    <row r="67" spans="1:10" ht="16.5">
      <c r="A67" s="398"/>
      <c r="B67" s="399"/>
      <c r="C67" s="385"/>
      <c r="D67" s="398"/>
      <c r="E67" s="398"/>
      <c r="F67" s="386"/>
      <c r="G67" s="386"/>
      <c r="H67" s="386"/>
      <c r="I67" s="386"/>
      <c r="J67" s="386"/>
    </row>
    <row r="68" spans="1:10" ht="16.5">
      <c r="A68" s="398"/>
      <c r="B68" s="399"/>
      <c r="C68" s="385"/>
      <c r="D68" s="398"/>
      <c r="E68" s="398"/>
      <c r="F68" s="386"/>
      <c r="G68" s="386"/>
      <c r="H68" s="386"/>
      <c r="I68" s="386"/>
      <c r="J68" s="386"/>
    </row>
    <row r="69" spans="1:10" ht="16.5">
      <c r="A69" s="398"/>
      <c r="B69" s="399"/>
      <c r="C69" s="385"/>
      <c r="D69" s="398"/>
      <c r="E69" s="398"/>
      <c r="F69" s="386"/>
      <c r="G69" s="386"/>
      <c r="H69" s="386"/>
      <c r="I69" s="386"/>
      <c r="J69" s="386"/>
    </row>
    <row r="70" spans="1:10" ht="16.5">
      <c r="A70" s="398"/>
      <c r="B70" s="399"/>
      <c r="C70" s="385"/>
      <c r="D70" s="398"/>
      <c r="E70" s="398"/>
      <c r="F70" s="386"/>
      <c r="G70" s="386"/>
      <c r="H70" s="386"/>
      <c r="I70" s="386"/>
      <c r="J70" s="386"/>
    </row>
    <row r="71" spans="1:10" ht="16.5">
      <c r="A71" s="398"/>
      <c r="B71" s="399"/>
      <c r="C71" s="385"/>
      <c r="D71" s="398"/>
      <c r="E71" s="398"/>
      <c r="F71" s="386"/>
      <c r="G71" s="386"/>
      <c r="H71" s="386"/>
      <c r="I71" s="386"/>
      <c r="J71" s="386"/>
    </row>
    <row r="72" spans="1:10" ht="16.5">
      <c r="A72" s="398"/>
      <c r="B72" s="399"/>
      <c r="C72" s="385"/>
      <c r="D72" s="398"/>
      <c r="E72" s="398"/>
      <c r="F72" s="386"/>
      <c r="G72" s="386"/>
      <c r="H72" s="386"/>
      <c r="I72" s="386"/>
      <c r="J72" s="386"/>
    </row>
    <row r="73" spans="1:10" ht="16.5">
      <c r="A73" s="398"/>
      <c r="B73" s="399"/>
      <c r="C73" s="385"/>
      <c r="D73" s="398"/>
      <c r="E73" s="398"/>
      <c r="F73" s="386"/>
      <c r="G73" s="386"/>
      <c r="H73" s="386"/>
      <c r="I73" s="386"/>
      <c r="J73" s="386"/>
    </row>
    <row r="74" spans="1:10" ht="16.5">
      <c r="A74" s="398"/>
      <c r="B74" s="399"/>
      <c r="C74" s="385"/>
      <c r="D74" s="398"/>
      <c r="E74" s="398"/>
      <c r="F74" s="386"/>
      <c r="G74" s="386"/>
      <c r="H74" s="386"/>
      <c r="I74" s="386"/>
      <c r="J74" s="386"/>
    </row>
    <row r="75" spans="1:10" ht="16.5">
      <c r="A75" s="398"/>
      <c r="B75" s="399"/>
      <c r="C75" s="385"/>
      <c r="D75" s="398"/>
      <c r="E75" s="398"/>
      <c r="F75" s="386"/>
      <c r="G75" s="386"/>
      <c r="H75" s="386"/>
      <c r="I75" s="386"/>
      <c r="J75" s="386"/>
    </row>
    <row r="76" spans="1:10" ht="16.5">
      <c r="A76" s="398"/>
      <c r="B76" s="399"/>
      <c r="C76" s="385"/>
      <c r="D76" s="398"/>
      <c r="E76" s="398"/>
      <c r="F76" s="386"/>
      <c r="G76" s="386"/>
      <c r="H76" s="386"/>
      <c r="I76" s="386"/>
      <c r="J76" s="386"/>
    </row>
    <row r="77" spans="1:10" ht="16.5">
      <c r="A77" s="398"/>
      <c r="B77" s="399"/>
      <c r="C77" s="385"/>
      <c r="D77" s="398"/>
      <c r="E77" s="398"/>
      <c r="F77" s="386"/>
      <c r="G77" s="386"/>
      <c r="H77" s="386"/>
      <c r="I77" s="386"/>
      <c r="J77" s="386"/>
    </row>
    <row r="78" spans="1:10" ht="16.5">
      <c r="A78" s="398"/>
      <c r="B78" s="399"/>
      <c r="C78" s="385"/>
      <c r="D78" s="398"/>
      <c r="E78" s="398"/>
      <c r="F78" s="386"/>
      <c r="G78" s="386"/>
      <c r="H78" s="386"/>
      <c r="I78" s="386"/>
      <c r="J78" s="386"/>
    </row>
    <row r="79" spans="1:10" ht="16.5">
      <c r="A79" s="398"/>
      <c r="B79" s="399"/>
      <c r="C79" s="385"/>
      <c r="D79" s="398"/>
      <c r="E79" s="398"/>
      <c r="F79" s="386"/>
      <c r="G79" s="386"/>
      <c r="H79" s="386"/>
      <c r="I79" s="386"/>
      <c r="J79" s="386"/>
    </row>
    <row r="80" spans="1:10" ht="16.5">
      <c r="A80" s="398"/>
      <c r="B80" s="399"/>
      <c r="C80" s="385"/>
      <c r="D80" s="398"/>
      <c r="E80" s="398"/>
      <c r="F80" s="386"/>
      <c r="G80" s="386"/>
      <c r="H80" s="386"/>
      <c r="I80" s="386"/>
      <c r="J80" s="386"/>
    </row>
    <row r="81" spans="1:10" ht="16.5">
      <c r="A81" s="398"/>
      <c r="B81" s="399"/>
      <c r="C81" s="385"/>
      <c r="D81" s="398"/>
      <c r="E81" s="398"/>
      <c r="F81" s="386"/>
      <c r="G81" s="386"/>
      <c r="H81" s="386"/>
      <c r="I81" s="386"/>
      <c r="J81" s="386"/>
    </row>
    <row r="82" spans="1:10" ht="16.5">
      <c r="A82" s="398"/>
      <c r="B82" s="399"/>
      <c r="C82" s="385"/>
      <c r="D82" s="398"/>
      <c r="E82" s="398"/>
      <c r="F82" s="386"/>
      <c r="G82" s="386"/>
      <c r="H82" s="386"/>
      <c r="I82" s="386"/>
      <c r="J82" s="386"/>
    </row>
    <row r="83" spans="1:10" ht="16.5">
      <c r="A83" s="398"/>
      <c r="B83" s="399"/>
      <c r="C83" s="385"/>
      <c r="D83" s="398"/>
      <c r="E83" s="398"/>
      <c r="F83" s="386"/>
      <c r="G83" s="386"/>
      <c r="H83" s="386"/>
      <c r="I83" s="386"/>
      <c r="J83" s="386"/>
    </row>
    <row r="84" spans="1:10" ht="16.5">
      <c r="A84" s="398"/>
      <c r="B84" s="399"/>
      <c r="C84" s="385"/>
      <c r="D84" s="398"/>
      <c r="E84" s="398"/>
      <c r="F84" s="386"/>
      <c r="G84" s="386"/>
      <c r="H84" s="386"/>
      <c r="I84" s="386"/>
      <c r="J84" s="386"/>
    </row>
    <row r="85" spans="1:10" ht="16.5">
      <c r="A85" s="398"/>
      <c r="B85" s="399"/>
      <c r="C85" s="385"/>
      <c r="D85" s="398"/>
      <c r="E85" s="398"/>
      <c r="F85" s="386"/>
      <c r="G85" s="386"/>
      <c r="H85" s="386"/>
      <c r="I85" s="386"/>
      <c r="J85" s="386"/>
    </row>
    <row r="86" spans="1:10" ht="16.5">
      <c r="A86" s="398"/>
      <c r="B86" s="399"/>
      <c r="C86" s="385"/>
      <c r="D86" s="398"/>
      <c r="E86" s="398"/>
      <c r="F86" s="386"/>
      <c r="G86" s="386"/>
      <c r="H86" s="386"/>
      <c r="I86" s="386"/>
      <c r="J86" s="386"/>
    </row>
    <row r="87" spans="1:10" ht="16.5">
      <c r="A87" s="398"/>
      <c r="B87" s="399"/>
      <c r="C87" s="385"/>
      <c r="D87" s="398"/>
      <c r="E87" s="398"/>
      <c r="F87" s="386"/>
      <c r="G87" s="386"/>
      <c r="H87" s="386"/>
      <c r="I87" s="386"/>
      <c r="J87" s="386"/>
    </row>
    <row r="88" spans="1:10" ht="16.5">
      <c r="A88" s="398"/>
      <c r="B88" s="399"/>
      <c r="C88" s="385"/>
      <c r="D88" s="398"/>
      <c r="E88" s="398"/>
      <c r="F88" s="386"/>
      <c r="G88" s="386"/>
      <c r="H88" s="386"/>
      <c r="I88" s="386"/>
      <c r="J88" s="386"/>
    </row>
    <row r="89" spans="1:10" ht="16.5">
      <c r="A89" s="398"/>
      <c r="B89" s="399"/>
      <c r="C89" s="385"/>
      <c r="D89" s="398"/>
      <c r="E89" s="398"/>
      <c r="F89" s="386"/>
      <c r="G89" s="386"/>
      <c r="H89" s="386"/>
      <c r="I89" s="386"/>
      <c r="J89" s="386"/>
    </row>
    <row r="90" spans="1:10" ht="16.5">
      <c r="A90" s="398"/>
      <c r="B90" s="399"/>
      <c r="C90" s="385"/>
      <c r="D90" s="398"/>
      <c r="E90" s="398"/>
      <c r="F90" s="386"/>
      <c r="G90" s="386"/>
      <c r="H90" s="386"/>
      <c r="I90" s="386"/>
      <c r="J90" s="386"/>
    </row>
    <row r="91" spans="1:10" ht="16.5">
      <c r="A91" s="398"/>
      <c r="B91" s="399"/>
      <c r="C91" s="385"/>
      <c r="D91" s="398"/>
      <c r="E91" s="398"/>
      <c r="F91" s="386"/>
      <c r="G91" s="386"/>
      <c r="H91" s="386"/>
      <c r="I91" s="386"/>
      <c r="J91" s="386"/>
    </row>
    <row r="92" spans="1:10" ht="16.5">
      <c r="A92" s="398"/>
      <c r="B92" s="399"/>
      <c r="C92" s="385"/>
      <c r="D92" s="398"/>
      <c r="E92" s="398"/>
      <c r="F92" s="386"/>
      <c r="G92" s="386"/>
      <c r="H92" s="386"/>
      <c r="I92" s="386"/>
      <c r="J92" s="386"/>
    </row>
    <row r="93" spans="1:10" ht="16.5">
      <c r="A93" s="398"/>
      <c r="B93" s="399"/>
      <c r="C93" s="385"/>
      <c r="D93" s="398"/>
      <c r="E93" s="398"/>
      <c r="F93" s="386"/>
      <c r="G93" s="386"/>
      <c r="H93" s="386"/>
      <c r="I93" s="386"/>
      <c r="J93" s="386"/>
    </row>
    <row r="94" spans="1:10" ht="16.5">
      <c r="A94" s="398"/>
      <c r="B94" s="399"/>
      <c r="C94" s="385"/>
      <c r="D94" s="398"/>
      <c r="E94" s="398"/>
      <c r="F94" s="386"/>
      <c r="G94" s="386"/>
      <c r="H94" s="386"/>
      <c r="I94" s="386"/>
      <c r="J94" s="386"/>
    </row>
    <row r="95" spans="1:10" ht="16.5">
      <c r="A95" s="398"/>
      <c r="B95" s="399"/>
      <c r="C95" s="385"/>
      <c r="D95" s="398"/>
      <c r="E95" s="398"/>
      <c r="F95" s="386"/>
      <c r="G95" s="386"/>
      <c r="H95" s="386"/>
      <c r="I95" s="386"/>
      <c r="J95" s="386"/>
    </row>
    <row r="96" spans="1:10" ht="16.5">
      <c r="A96" s="398"/>
      <c r="B96" s="399"/>
      <c r="C96" s="385"/>
      <c r="D96" s="398"/>
      <c r="E96" s="398"/>
      <c r="F96" s="386"/>
      <c r="G96" s="386"/>
      <c r="H96" s="386"/>
      <c r="I96" s="386"/>
      <c r="J96" s="386"/>
    </row>
    <row r="97" spans="1:10" ht="16.5">
      <c r="A97" s="398"/>
      <c r="B97" s="399"/>
      <c r="C97" s="385"/>
      <c r="D97" s="398"/>
      <c r="E97" s="398"/>
      <c r="F97" s="386"/>
      <c r="G97" s="386"/>
      <c r="H97" s="386"/>
      <c r="I97" s="386"/>
      <c r="J97" s="386"/>
    </row>
    <row r="98" spans="1:10" ht="16.5">
      <c r="A98" s="398"/>
      <c r="B98" s="399"/>
      <c r="C98" s="385"/>
      <c r="D98" s="398"/>
      <c r="E98" s="398"/>
      <c r="F98" s="386"/>
      <c r="G98" s="386"/>
      <c r="H98" s="386"/>
      <c r="I98" s="386"/>
      <c r="J98" s="386"/>
    </row>
    <row r="99" spans="1:10" ht="16.5">
      <c r="A99" s="398"/>
      <c r="B99" s="399"/>
      <c r="C99" s="385"/>
      <c r="D99" s="398"/>
      <c r="E99" s="398"/>
      <c r="F99" s="386"/>
      <c r="G99" s="386"/>
      <c r="H99" s="386"/>
      <c r="I99" s="386"/>
      <c r="J99" s="386"/>
    </row>
    <row r="100" spans="1:10" ht="16.5">
      <c r="A100" s="398"/>
      <c r="B100" s="399"/>
      <c r="C100" s="385"/>
      <c r="D100" s="398"/>
      <c r="E100" s="398"/>
      <c r="F100" s="386"/>
      <c r="G100" s="386"/>
      <c r="H100" s="386"/>
      <c r="I100" s="386"/>
      <c r="J100" s="386"/>
    </row>
    <row r="101" spans="1:10" ht="16.5">
      <c r="A101" s="398"/>
      <c r="B101" s="399"/>
      <c r="C101" s="385"/>
      <c r="D101" s="398"/>
      <c r="E101" s="398"/>
      <c r="F101" s="386"/>
      <c r="G101" s="386"/>
      <c r="H101" s="386"/>
      <c r="I101" s="386"/>
      <c r="J101" s="386"/>
    </row>
    <row r="102" spans="1:10" ht="16.5">
      <c r="A102" s="398"/>
      <c r="B102" s="399"/>
      <c r="C102" s="385"/>
      <c r="D102" s="398"/>
      <c r="E102" s="398"/>
      <c r="F102" s="386"/>
      <c r="G102" s="386"/>
      <c r="H102" s="386"/>
      <c r="I102" s="386"/>
      <c r="J102" s="386"/>
    </row>
    <row r="103" spans="1:10" ht="16.5">
      <c r="A103" s="398"/>
      <c r="B103" s="399"/>
      <c r="C103" s="385"/>
      <c r="D103" s="398"/>
      <c r="E103" s="398"/>
      <c r="F103" s="386"/>
      <c r="G103" s="386"/>
      <c r="H103" s="386"/>
      <c r="I103" s="386"/>
      <c r="J103" s="386"/>
    </row>
    <row r="104" spans="1:10" ht="16.5">
      <c r="A104" s="398"/>
      <c r="B104" s="399"/>
      <c r="C104" s="385"/>
      <c r="D104" s="398"/>
      <c r="E104" s="398"/>
      <c r="F104" s="386"/>
      <c r="G104" s="386"/>
      <c r="H104" s="386"/>
      <c r="I104" s="386"/>
      <c r="J104" s="386"/>
    </row>
    <row r="105" spans="1:10" ht="16.5">
      <c r="A105" s="398"/>
      <c r="B105" s="399"/>
      <c r="C105" s="385"/>
      <c r="D105" s="398"/>
      <c r="E105" s="398"/>
      <c r="F105" s="386"/>
      <c r="G105" s="386"/>
      <c r="H105" s="386"/>
      <c r="I105" s="386"/>
      <c r="J105" s="386"/>
    </row>
    <row r="106" spans="1:10" ht="16.5">
      <c r="A106" s="398"/>
      <c r="B106" s="399"/>
      <c r="C106" s="385"/>
      <c r="D106" s="398"/>
      <c r="E106" s="398"/>
      <c r="F106" s="386"/>
      <c r="G106" s="386"/>
      <c r="H106" s="386"/>
      <c r="I106" s="386"/>
      <c r="J106" s="386"/>
    </row>
    <row r="107" spans="1:10" ht="16.5">
      <c r="A107" s="398"/>
      <c r="B107" s="399"/>
      <c r="C107" s="385"/>
      <c r="D107" s="398"/>
      <c r="E107" s="398"/>
      <c r="F107" s="386"/>
      <c r="G107" s="386"/>
      <c r="H107" s="386"/>
      <c r="I107" s="386"/>
      <c r="J107" s="386"/>
    </row>
    <row r="108" spans="1:10" ht="16.5">
      <c r="A108" s="398"/>
      <c r="B108" s="399"/>
      <c r="C108" s="385"/>
      <c r="D108" s="398"/>
      <c r="E108" s="398"/>
      <c r="F108" s="386"/>
      <c r="G108" s="386"/>
      <c r="H108" s="386"/>
      <c r="I108" s="386"/>
      <c r="J108" s="386"/>
    </row>
    <row r="109" spans="1:10" ht="16.5">
      <c r="A109" s="398"/>
      <c r="B109" s="399"/>
      <c r="C109" s="385"/>
      <c r="D109" s="398"/>
      <c r="E109" s="398"/>
      <c r="F109" s="386"/>
      <c r="G109" s="386"/>
      <c r="H109" s="386"/>
      <c r="I109" s="386"/>
      <c r="J109" s="386"/>
    </row>
    <row r="110" spans="1:10" ht="16.5">
      <c r="A110" s="398"/>
      <c r="B110" s="399"/>
      <c r="C110" s="385"/>
      <c r="D110" s="398"/>
      <c r="E110" s="398"/>
      <c r="F110" s="386"/>
      <c r="G110" s="386"/>
      <c r="H110" s="386"/>
      <c r="I110" s="386"/>
      <c r="J110" s="386"/>
    </row>
    <row r="111" spans="1:10" ht="16.5">
      <c r="A111" s="398"/>
      <c r="B111" s="399"/>
      <c r="C111" s="385"/>
      <c r="D111" s="398"/>
      <c r="E111" s="398"/>
      <c r="F111" s="386"/>
      <c r="G111" s="386"/>
      <c r="H111" s="386"/>
      <c r="I111" s="386"/>
      <c r="J111" s="386"/>
    </row>
    <row r="112" spans="1:10" ht="16.5">
      <c r="A112" s="398"/>
      <c r="B112" s="399"/>
      <c r="C112" s="385"/>
      <c r="D112" s="398"/>
      <c r="E112" s="398"/>
      <c r="F112" s="386"/>
      <c r="G112" s="386"/>
      <c r="H112" s="386"/>
      <c r="I112" s="386"/>
      <c r="J112" s="386"/>
    </row>
    <row r="113" spans="1:10" ht="16.5">
      <c r="A113" s="398"/>
      <c r="B113" s="399"/>
      <c r="C113" s="385"/>
      <c r="D113" s="398"/>
      <c r="E113" s="398"/>
      <c r="F113" s="386"/>
      <c r="G113" s="386"/>
      <c r="H113" s="386"/>
      <c r="I113" s="386"/>
      <c r="J113" s="386"/>
    </row>
    <row r="114" spans="1:10" ht="16.5">
      <c r="A114" s="398"/>
      <c r="B114" s="399"/>
      <c r="C114" s="385"/>
      <c r="D114" s="398"/>
      <c r="E114" s="398"/>
      <c r="F114" s="386"/>
      <c r="G114" s="386"/>
      <c r="H114" s="386"/>
      <c r="I114" s="386"/>
      <c r="J114" s="386"/>
    </row>
    <row r="115" spans="1:10" ht="16.5">
      <c r="A115" s="398"/>
      <c r="B115" s="399"/>
      <c r="C115" s="385"/>
      <c r="D115" s="398"/>
      <c r="E115" s="398"/>
      <c r="F115" s="386"/>
      <c r="G115" s="386"/>
      <c r="H115" s="386"/>
      <c r="I115" s="386"/>
      <c r="J115" s="386"/>
    </row>
    <row r="116" spans="1:10" ht="16.5">
      <c r="A116" s="398"/>
      <c r="B116" s="399"/>
      <c r="C116" s="385"/>
      <c r="D116" s="398"/>
      <c r="E116" s="398"/>
      <c r="F116" s="386"/>
      <c r="G116" s="386"/>
      <c r="H116" s="386"/>
      <c r="I116" s="386"/>
      <c r="J116" s="386"/>
    </row>
    <row r="117" spans="1:10" ht="16.5">
      <c r="A117" s="398"/>
      <c r="B117" s="399"/>
      <c r="C117" s="385"/>
      <c r="D117" s="398"/>
      <c r="E117" s="398"/>
      <c r="F117" s="386"/>
      <c r="G117" s="386"/>
      <c r="H117" s="386"/>
      <c r="I117" s="386"/>
      <c r="J117" s="386"/>
    </row>
    <row r="118" spans="1:10" ht="16.5">
      <c r="A118" s="398"/>
      <c r="B118" s="399"/>
      <c r="C118" s="385"/>
      <c r="D118" s="398"/>
      <c r="E118" s="398"/>
      <c r="F118" s="386"/>
      <c r="G118" s="386"/>
      <c r="H118" s="386"/>
      <c r="I118" s="386"/>
      <c r="J118" s="386"/>
    </row>
    <row r="119" spans="1:10" ht="16.5">
      <c r="A119" s="398"/>
      <c r="B119" s="399"/>
      <c r="C119" s="385"/>
      <c r="D119" s="398"/>
      <c r="E119" s="398"/>
      <c r="F119" s="386"/>
      <c r="G119" s="386"/>
      <c r="H119" s="386"/>
      <c r="I119" s="386"/>
      <c r="J119" s="386"/>
    </row>
    <row r="120" spans="1:10" ht="16.5">
      <c r="A120" s="398"/>
      <c r="B120" s="399"/>
      <c r="C120" s="385"/>
      <c r="D120" s="398"/>
      <c r="E120" s="398"/>
      <c r="F120" s="386"/>
      <c r="G120" s="386"/>
      <c r="H120" s="386"/>
      <c r="I120" s="386"/>
      <c r="J120" s="386"/>
    </row>
    <row r="121" spans="1:10" ht="16.5">
      <c r="A121" s="398"/>
      <c r="B121" s="399"/>
      <c r="C121" s="385"/>
      <c r="D121" s="398"/>
      <c r="E121" s="398"/>
      <c r="F121" s="386"/>
      <c r="G121" s="386"/>
      <c r="H121" s="386"/>
      <c r="I121" s="386"/>
      <c r="J121" s="386"/>
    </row>
    <row r="122" spans="1:10" ht="16.5">
      <c r="A122" s="398"/>
      <c r="B122" s="399"/>
      <c r="C122" s="385"/>
      <c r="D122" s="398"/>
      <c r="E122" s="398"/>
      <c r="F122" s="386"/>
      <c r="G122" s="386"/>
      <c r="H122" s="386"/>
      <c r="I122" s="386"/>
      <c r="J122" s="386"/>
    </row>
    <row r="123" spans="1:10" ht="16.5">
      <c r="A123" s="398"/>
      <c r="B123" s="399"/>
      <c r="C123" s="385"/>
      <c r="D123" s="398"/>
      <c r="E123" s="398"/>
      <c r="F123" s="386"/>
      <c r="G123" s="386"/>
      <c r="H123" s="386"/>
      <c r="I123" s="386"/>
      <c r="J123" s="386"/>
    </row>
    <row r="124" spans="1:10" ht="16.5">
      <c r="A124" s="398"/>
      <c r="B124" s="399"/>
      <c r="C124" s="385"/>
      <c r="D124" s="398"/>
      <c r="E124" s="398"/>
      <c r="F124" s="386"/>
      <c r="G124" s="386"/>
      <c r="H124" s="386"/>
      <c r="I124" s="386"/>
      <c r="J124" s="386"/>
    </row>
    <row r="125" spans="1:10" ht="16.5">
      <c r="A125" s="398"/>
      <c r="B125" s="399"/>
      <c r="C125" s="385"/>
      <c r="D125" s="398"/>
      <c r="E125" s="398"/>
      <c r="F125" s="386"/>
      <c r="G125" s="386"/>
      <c r="H125" s="386"/>
      <c r="I125" s="386"/>
      <c r="J125" s="386"/>
    </row>
    <row r="126" spans="1:10" ht="16.5">
      <c r="A126" s="398"/>
      <c r="B126" s="399"/>
      <c r="C126" s="385"/>
      <c r="D126" s="398"/>
      <c r="E126" s="398"/>
      <c r="F126" s="386"/>
      <c r="G126" s="386"/>
      <c r="H126" s="386"/>
      <c r="I126" s="386"/>
      <c r="J126" s="386"/>
    </row>
    <row r="127" spans="1:10" ht="16.5">
      <c r="A127" s="398"/>
      <c r="B127" s="399"/>
      <c r="C127" s="385"/>
      <c r="D127" s="398"/>
      <c r="E127" s="398"/>
      <c r="F127" s="386"/>
      <c r="G127" s="386"/>
      <c r="H127" s="386"/>
      <c r="I127" s="386"/>
      <c r="J127" s="386"/>
    </row>
    <row r="128" spans="1:10" ht="16.5">
      <c r="A128" s="398"/>
      <c r="B128" s="399"/>
      <c r="C128" s="385"/>
      <c r="D128" s="398"/>
      <c r="E128" s="398"/>
      <c r="F128" s="386"/>
      <c r="G128" s="386"/>
      <c r="H128" s="386"/>
      <c r="I128" s="386"/>
      <c r="J128" s="386"/>
    </row>
    <row r="129" spans="1:10" ht="16.5">
      <c r="A129" s="398"/>
      <c r="B129" s="399"/>
      <c r="C129" s="385"/>
      <c r="D129" s="398"/>
      <c r="E129" s="398"/>
      <c r="F129" s="386"/>
      <c r="G129" s="386"/>
      <c r="H129" s="386"/>
      <c r="I129" s="386"/>
      <c r="J129" s="386"/>
    </row>
    <row r="130" spans="1:10" ht="16.5">
      <c r="A130" s="398"/>
      <c r="B130" s="399"/>
      <c r="C130" s="385"/>
      <c r="D130" s="398"/>
      <c r="E130" s="398"/>
      <c r="F130" s="386"/>
      <c r="G130" s="386"/>
      <c r="H130" s="386"/>
      <c r="I130" s="386"/>
      <c r="J130" s="386"/>
    </row>
    <row r="131" spans="1:10" ht="16.5">
      <c r="A131" s="398"/>
      <c r="B131" s="399"/>
      <c r="C131" s="385"/>
      <c r="D131" s="398"/>
      <c r="E131" s="398"/>
      <c r="F131" s="386"/>
      <c r="G131" s="386"/>
      <c r="H131" s="386"/>
      <c r="I131" s="386"/>
      <c r="J131" s="386"/>
    </row>
    <row r="132" spans="1:10" ht="16.5">
      <c r="A132" s="398"/>
      <c r="B132" s="399"/>
      <c r="C132" s="385"/>
      <c r="D132" s="398"/>
      <c r="E132" s="398"/>
      <c r="F132" s="386"/>
      <c r="G132" s="386"/>
      <c r="H132" s="386"/>
      <c r="I132" s="386"/>
      <c r="J132" s="386"/>
    </row>
    <row r="133" spans="1:10" ht="16.5">
      <c r="A133" s="398"/>
      <c r="B133" s="399"/>
      <c r="C133" s="385"/>
      <c r="D133" s="398"/>
      <c r="E133" s="398"/>
      <c r="F133" s="386"/>
      <c r="G133" s="386"/>
      <c r="H133" s="386"/>
      <c r="I133" s="386"/>
      <c r="J133" s="386"/>
    </row>
    <row r="134" spans="1:10" ht="16.5">
      <c r="A134" s="398"/>
      <c r="B134" s="399"/>
      <c r="C134" s="385"/>
      <c r="D134" s="398"/>
      <c r="E134" s="398"/>
      <c r="F134" s="386"/>
      <c r="G134" s="386"/>
      <c r="H134" s="386"/>
      <c r="I134" s="386"/>
      <c r="J134" s="386"/>
    </row>
    <row r="135" spans="1:10" ht="16.5">
      <c r="A135" s="398"/>
      <c r="B135" s="399"/>
      <c r="C135" s="385"/>
      <c r="D135" s="398"/>
      <c r="E135" s="398"/>
      <c r="F135" s="386"/>
      <c r="G135" s="386"/>
      <c r="H135" s="386"/>
      <c r="I135" s="386"/>
      <c r="J135" s="386"/>
    </row>
    <row r="136" spans="1:10" ht="16.5">
      <c r="A136" s="398"/>
      <c r="B136" s="399"/>
      <c r="C136" s="385"/>
      <c r="D136" s="398"/>
      <c r="E136" s="398"/>
      <c r="F136" s="386"/>
      <c r="G136" s="386"/>
      <c r="H136" s="386"/>
      <c r="I136" s="386"/>
      <c r="J136" s="386"/>
    </row>
    <row r="137" spans="1:10" ht="16.5">
      <c r="A137" s="398"/>
      <c r="B137" s="399"/>
      <c r="C137" s="385"/>
      <c r="D137" s="398"/>
      <c r="E137" s="398"/>
      <c r="F137" s="386"/>
      <c r="G137" s="386"/>
      <c r="H137" s="386"/>
      <c r="I137" s="386"/>
      <c r="J137" s="386"/>
    </row>
    <row r="138" spans="1:10" ht="16.5">
      <c r="A138" s="398"/>
      <c r="B138" s="399"/>
      <c r="C138" s="385"/>
      <c r="D138" s="398"/>
      <c r="E138" s="398"/>
      <c r="F138" s="386"/>
      <c r="G138" s="386"/>
      <c r="H138" s="386"/>
      <c r="I138" s="386"/>
      <c r="J138" s="386"/>
    </row>
    <row r="139" spans="1:10" ht="16.5">
      <c r="A139" s="398"/>
      <c r="B139" s="399"/>
      <c r="C139" s="385"/>
      <c r="D139" s="398"/>
      <c r="E139" s="398"/>
      <c r="F139" s="386"/>
      <c r="G139" s="386"/>
      <c r="H139" s="386"/>
      <c r="I139" s="386"/>
      <c r="J139" s="386"/>
    </row>
    <row r="140" spans="1:10" ht="16.5">
      <c r="A140" s="398"/>
      <c r="B140" s="399"/>
      <c r="C140" s="385"/>
      <c r="D140" s="398"/>
      <c r="E140" s="398"/>
      <c r="F140" s="386"/>
      <c r="G140" s="386"/>
      <c r="H140" s="386"/>
      <c r="I140" s="386"/>
      <c r="J140" s="386"/>
    </row>
    <row r="141" spans="1:10" ht="16.5">
      <c r="A141" s="398"/>
      <c r="B141" s="399"/>
      <c r="C141" s="385"/>
      <c r="D141" s="398"/>
      <c r="E141" s="398"/>
      <c r="F141" s="386"/>
      <c r="G141" s="386"/>
      <c r="H141" s="386"/>
      <c r="I141" s="386"/>
      <c r="J141" s="386"/>
    </row>
    <row r="142" spans="1:10" ht="16.5">
      <c r="A142" s="398"/>
      <c r="B142" s="399"/>
      <c r="C142" s="385"/>
      <c r="D142" s="398"/>
      <c r="E142" s="398"/>
      <c r="F142" s="386"/>
      <c r="G142" s="386"/>
      <c r="H142" s="386"/>
      <c r="I142" s="386"/>
      <c r="J142" s="386"/>
    </row>
    <row r="143" spans="1:10" ht="16.5">
      <c r="A143" s="398"/>
      <c r="B143" s="399"/>
      <c r="C143" s="385"/>
      <c r="D143" s="398"/>
      <c r="E143" s="398"/>
      <c r="F143" s="386"/>
      <c r="G143" s="386"/>
      <c r="H143" s="386"/>
      <c r="I143" s="386"/>
      <c r="J143" s="386"/>
    </row>
    <row r="144" spans="1:10" ht="16.5">
      <c r="A144" s="398"/>
      <c r="B144" s="399"/>
      <c r="C144" s="385"/>
      <c r="D144" s="398"/>
      <c r="E144" s="398"/>
      <c r="F144" s="386"/>
      <c r="G144" s="386"/>
      <c r="H144" s="386"/>
      <c r="I144" s="386"/>
      <c r="J144" s="386"/>
    </row>
    <row r="145" spans="1:10" ht="16.5">
      <c r="A145" s="398"/>
      <c r="B145" s="399"/>
      <c r="C145" s="385"/>
      <c r="D145" s="398"/>
      <c r="E145" s="398"/>
      <c r="F145" s="386"/>
      <c r="G145" s="386"/>
      <c r="H145" s="386"/>
      <c r="I145" s="386"/>
      <c r="J145" s="386"/>
    </row>
    <row r="146" spans="1:10" ht="16.5">
      <c r="A146" s="398"/>
      <c r="B146" s="399"/>
      <c r="C146" s="385"/>
      <c r="D146" s="398"/>
      <c r="E146" s="398"/>
      <c r="F146" s="386"/>
      <c r="G146" s="386"/>
      <c r="H146" s="386"/>
      <c r="I146" s="386"/>
      <c r="J146" s="386"/>
    </row>
    <row r="147" spans="1:10" ht="16.5">
      <c r="A147" s="398"/>
      <c r="B147" s="399"/>
      <c r="C147" s="385"/>
      <c r="D147" s="398"/>
      <c r="E147" s="398"/>
      <c r="F147" s="386"/>
      <c r="G147" s="386"/>
      <c r="H147" s="386"/>
      <c r="I147" s="386"/>
      <c r="J147" s="386"/>
    </row>
    <row r="148" spans="1:10" ht="16.5">
      <c r="A148" s="398"/>
      <c r="B148" s="399"/>
      <c r="C148" s="385"/>
      <c r="D148" s="398"/>
      <c r="E148" s="398"/>
      <c r="F148" s="386"/>
      <c r="G148" s="386"/>
      <c r="H148" s="386"/>
      <c r="I148" s="386"/>
      <c r="J148" s="386"/>
    </row>
    <row r="149" spans="1:10" ht="16.5">
      <c r="A149" s="398"/>
      <c r="B149" s="399"/>
      <c r="C149" s="385"/>
      <c r="D149" s="398"/>
      <c r="E149" s="398"/>
      <c r="F149" s="386"/>
      <c r="G149" s="386"/>
      <c r="H149" s="386"/>
      <c r="I149" s="386"/>
      <c r="J149" s="386"/>
    </row>
    <row r="150" spans="1:10" ht="16.5">
      <c r="A150" s="398"/>
      <c r="B150" s="399"/>
      <c r="C150" s="385"/>
      <c r="D150" s="398"/>
      <c r="E150" s="398"/>
      <c r="F150" s="386"/>
      <c r="G150" s="386"/>
      <c r="H150" s="386"/>
      <c r="I150" s="386"/>
      <c r="J150" s="386"/>
    </row>
    <row r="151" spans="1:10" ht="16.5">
      <c r="A151" s="398"/>
      <c r="B151" s="399"/>
      <c r="C151" s="385"/>
      <c r="D151" s="398"/>
      <c r="E151" s="398"/>
      <c r="F151" s="386"/>
      <c r="G151" s="386"/>
      <c r="H151" s="386"/>
      <c r="I151" s="386"/>
      <c r="J151" s="386"/>
    </row>
    <row r="152" spans="1:10" ht="16.5">
      <c r="A152" s="398"/>
      <c r="B152" s="399"/>
      <c r="C152" s="385"/>
      <c r="D152" s="398"/>
      <c r="E152" s="398"/>
      <c r="F152" s="386"/>
      <c r="G152" s="386"/>
      <c r="H152" s="386"/>
      <c r="I152" s="386"/>
      <c r="J152" s="386"/>
    </row>
    <row r="153" spans="1:10" ht="16.5">
      <c r="A153" s="398"/>
      <c r="B153" s="399"/>
      <c r="C153" s="385"/>
      <c r="D153" s="398"/>
      <c r="E153" s="398"/>
      <c r="F153" s="386"/>
      <c r="G153" s="386"/>
      <c r="H153" s="386"/>
      <c r="I153" s="386"/>
      <c r="J153" s="386"/>
    </row>
    <row r="154" spans="1:10" ht="16.5">
      <c r="A154" s="398"/>
      <c r="B154" s="399"/>
      <c r="C154" s="385"/>
      <c r="D154" s="398"/>
      <c r="E154" s="398"/>
      <c r="F154" s="386"/>
      <c r="G154" s="386"/>
      <c r="H154" s="386"/>
      <c r="I154" s="386"/>
      <c r="J154" s="386"/>
    </row>
    <row r="155" spans="1:10" ht="16.5">
      <c r="A155" s="398"/>
      <c r="B155" s="399"/>
      <c r="C155" s="385"/>
      <c r="D155" s="398"/>
      <c r="E155" s="398"/>
      <c r="F155" s="386"/>
      <c r="G155" s="386"/>
      <c r="H155" s="386"/>
      <c r="I155" s="386"/>
      <c r="J155" s="386"/>
    </row>
    <row r="156" spans="1:10" ht="16.5">
      <c r="A156" s="398"/>
      <c r="B156" s="399"/>
      <c r="C156" s="385"/>
      <c r="D156" s="398"/>
      <c r="E156" s="398"/>
      <c r="F156" s="386"/>
      <c r="G156" s="386"/>
      <c r="H156" s="386"/>
      <c r="I156" s="386"/>
      <c r="J156" s="386"/>
    </row>
    <row r="157" spans="1:10" ht="16.5">
      <c r="A157" s="398"/>
      <c r="B157" s="399"/>
      <c r="C157" s="385"/>
      <c r="D157" s="398"/>
      <c r="E157" s="398"/>
      <c r="F157" s="386"/>
      <c r="G157" s="386"/>
      <c r="H157" s="386"/>
      <c r="I157" s="386"/>
      <c r="J157" s="386"/>
    </row>
    <row r="158" spans="1:10" ht="16.5">
      <c r="A158" s="398"/>
      <c r="B158" s="399"/>
      <c r="C158" s="385"/>
      <c r="D158" s="398"/>
      <c r="E158" s="398"/>
      <c r="F158" s="386"/>
      <c r="G158" s="386"/>
      <c r="H158" s="386"/>
      <c r="I158" s="386"/>
      <c r="J158" s="386"/>
    </row>
    <row r="159" spans="1:10" ht="16.5">
      <c r="A159" s="398"/>
      <c r="B159" s="399"/>
      <c r="C159" s="385"/>
      <c r="D159" s="398"/>
      <c r="E159" s="398"/>
      <c r="F159" s="386"/>
      <c r="G159" s="386"/>
      <c r="H159" s="386"/>
      <c r="I159" s="386"/>
      <c r="J159" s="386"/>
    </row>
    <row r="160" spans="1:10" ht="16.5">
      <c r="A160" s="398"/>
      <c r="B160" s="399"/>
      <c r="C160" s="385"/>
      <c r="D160" s="398"/>
      <c r="E160" s="398"/>
      <c r="F160" s="386"/>
      <c r="G160" s="386"/>
      <c r="H160" s="386"/>
      <c r="I160" s="386"/>
      <c r="J160" s="386"/>
    </row>
    <row r="161" spans="1:10" ht="16.5">
      <c r="A161" s="398"/>
      <c r="B161" s="399"/>
      <c r="C161" s="385"/>
      <c r="D161" s="398"/>
      <c r="E161" s="398"/>
      <c r="F161" s="386"/>
      <c r="G161" s="386"/>
      <c r="H161" s="386"/>
      <c r="I161" s="386"/>
      <c r="J161" s="386"/>
    </row>
    <row r="162" spans="1:10" ht="16.5">
      <c r="A162" s="398"/>
      <c r="B162" s="399"/>
      <c r="C162" s="385"/>
      <c r="D162" s="398"/>
      <c r="E162" s="398"/>
      <c r="F162" s="386"/>
      <c r="G162" s="386"/>
      <c r="H162" s="386"/>
      <c r="I162" s="386"/>
      <c r="J162" s="386"/>
    </row>
    <row r="163" spans="1:10" ht="16.5">
      <c r="A163" s="398"/>
      <c r="B163" s="399"/>
      <c r="C163" s="385"/>
      <c r="D163" s="398"/>
      <c r="E163" s="398"/>
      <c r="F163" s="386"/>
      <c r="G163" s="386"/>
      <c r="H163" s="386"/>
      <c r="I163" s="386"/>
      <c r="J163" s="386"/>
    </row>
    <row r="164" spans="1:10" ht="16.5">
      <c r="A164" s="398"/>
      <c r="B164" s="399"/>
      <c r="C164" s="385"/>
      <c r="D164" s="398"/>
      <c r="E164" s="398"/>
      <c r="F164" s="386"/>
      <c r="G164" s="386"/>
      <c r="H164" s="386"/>
      <c r="I164" s="386"/>
      <c r="J164" s="386"/>
    </row>
    <row r="165" spans="1:10" ht="16.5">
      <c r="A165" s="398"/>
      <c r="B165" s="399"/>
      <c r="C165" s="385"/>
      <c r="D165" s="398"/>
      <c r="E165" s="398"/>
      <c r="F165" s="386"/>
      <c r="G165" s="386"/>
      <c r="H165" s="386"/>
      <c r="I165" s="386"/>
      <c r="J165" s="386"/>
    </row>
    <row r="166" spans="1:10" ht="16.5">
      <c r="A166" s="398"/>
      <c r="B166" s="399"/>
      <c r="C166" s="385"/>
      <c r="D166" s="398"/>
      <c r="E166" s="398"/>
      <c r="F166" s="386"/>
      <c r="G166" s="386"/>
      <c r="H166" s="386"/>
      <c r="I166" s="386"/>
      <c r="J166" s="386"/>
    </row>
    <row r="167" spans="1:10" ht="16.5">
      <c r="A167" s="398"/>
      <c r="B167" s="399"/>
      <c r="C167" s="385"/>
      <c r="D167" s="398"/>
      <c r="E167" s="398"/>
      <c r="F167" s="386"/>
      <c r="G167" s="386"/>
      <c r="H167" s="386"/>
      <c r="I167" s="386"/>
      <c r="J167" s="386"/>
    </row>
    <row r="168" spans="1:10" ht="16.5">
      <c r="A168" s="398"/>
      <c r="B168" s="399"/>
      <c r="C168" s="385"/>
      <c r="D168" s="398"/>
      <c r="E168" s="398"/>
      <c r="F168" s="386"/>
      <c r="G168" s="386"/>
      <c r="H168" s="386"/>
      <c r="I168" s="386"/>
      <c r="J168" s="386"/>
    </row>
    <row r="169" spans="1:10" ht="16.5">
      <c r="A169" s="398"/>
      <c r="B169" s="399"/>
      <c r="C169" s="385"/>
      <c r="D169" s="398"/>
      <c r="E169" s="398"/>
      <c r="F169" s="386"/>
      <c r="G169" s="386"/>
      <c r="H169" s="386"/>
      <c r="I169" s="386"/>
      <c r="J169" s="386"/>
    </row>
    <row r="170" spans="1:10" ht="16.5">
      <c r="A170" s="398"/>
      <c r="B170" s="399"/>
      <c r="C170" s="385"/>
      <c r="D170" s="398"/>
      <c r="E170" s="398"/>
      <c r="F170" s="386"/>
      <c r="G170" s="386"/>
      <c r="H170" s="386"/>
      <c r="I170" s="386"/>
      <c r="J170" s="386"/>
    </row>
    <row r="171" spans="1:10" ht="16.5">
      <c r="A171" s="398"/>
      <c r="B171" s="399"/>
      <c r="C171" s="385"/>
      <c r="D171" s="398"/>
      <c r="E171" s="398"/>
      <c r="F171" s="386"/>
      <c r="G171" s="386"/>
      <c r="H171" s="386"/>
      <c r="I171" s="386"/>
      <c r="J171" s="386"/>
    </row>
    <row r="172" spans="1:10" ht="16.5">
      <c r="A172" s="398"/>
      <c r="B172" s="399"/>
      <c r="C172" s="385"/>
      <c r="D172" s="398"/>
      <c r="E172" s="398"/>
      <c r="F172" s="386"/>
      <c r="G172" s="386"/>
      <c r="H172" s="386"/>
      <c r="I172" s="386"/>
      <c r="J172" s="386"/>
    </row>
    <row r="173" spans="1:10" ht="16.5">
      <c r="A173" s="398"/>
      <c r="B173" s="399"/>
      <c r="C173" s="385"/>
      <c r="D173" s="398"/>
      <c r="E173" s="398"/>
      <c r="F173" s="386"/>
      <c r="G173" s="386"/>
      <c r="H173" s="386"/>
      <c r="I173" s="386"/>
      <c r="J173" s="386"/>
    </row>
    <row r="174" spans="1:10" ht="16.5">
      <c r="A174" s="398"/>
      <c r="B174" s="399"/>
      <c r="C174" s="385"/>
      <c r="D174" s="398"/>
      <c r="E174" s="398"/>
      <c r="F174" s="386"/>
      <c r="G174" s="386"/>
      <c r="H174" s="386"/>
      <c r="I174" s="386"/>
      <c r="J174" s="386"/>
    </row>
    <row r="175" spans="1:10" ht="16.5">
      <c r="A175" s="398"/>
      <c r="B175" s="399"/>
      <c r="C175" s="385"/>
      <c r="D175" s="398"/>
      <c r="E175" s="398"/>
      <c r="F175" s="386"/>
      <c r="G175" s="386"/>
      <c r="H175" s="386"/>
      <c r="I175" s="386"/>
      <c r="J175" s="386"/>
    </row>
    <row r="176" spans="1:10" ht="16.5">
      <c r="A176" s="398"/>
      <c r="B176" s="399"/>
      <c r="C176" s="385"/>
      <c r="D176" s="398"/>
      <c r="E176" s="398"/>
      <c r="F176" s="386"/>
      <c r="G176" s="386"/>
      <c r="H176" s="386"/>
      <c r="I176" s="386"/>
      <c r="J176" s="386"/>
    </row>
    <row r="177" spans="1:10" ht="16.5">
      <c r="A177" s="398"/>
      <c r="B177" s="399"/>
      <c r="C177" s="385"/>
      <c r="D177" s="398"/>
      <c r="E177" s="398"/>
      <c r="F177" s="386"/>
      <c r="G177" s="386"/>
      <c r="H177" s="386"/>
      <c r="I177" s="386"/>
      <c r="J177" s="386"/>
    </row>
    <row r="178" spans="1:10" ht="16.5">
      <c r="A178" s="398"/>
      <c r="B178" s="399"/>
      <c r="C178" s="385"/>
      <c r="D178" s="398"/>
      <c r="E178" s="398"/>
      <c r="F178" s="386"/>
      <c r="G178" s="386"/>
      <c r="H178" s="386"/>
      <c r="I178" s="386"/>
      <c r="J178" s="386"/>
    </row>
    <row r="179" spans="1:10" ht="16.5">
      <c r="A179" s="398"/>
      <c r="B179" s="399"/>
      <c r="C179" s="385"/>
      <c r="D179" s="398"/>
      <c r="E179" s="398"/>
      <c r="F179" s="386"/>
      <c r="G179" s="386"/>
      <c r="H179" s="386"/>
      <c r="I179" s="386"/>
      <c r="J179" s="386"/>
    </row>
    <row r="180" spans="1:10" ht="16.5">
      <c r="A180" s="398"/>
      <c r="B180" s="399"/>
      <c r="C180" s="385"/>
      <c r="D180" s="398"/>
      <c r="E180" s="398"/>
      <c r="F180" s="386"/>
      <c r="G180" s="386"/>
      <c r="H180" s="386"/>
      <c r="I180" s="386"/>
      <c r="J180" s="386"/>
    </row>
    <row r="181" spans="1:10" ht="16.5">
      <c r="A181" s="398"/>
      <c r="B181" s="399"/>
      <c r="C181" s="385"/>
      <c r="D181" s="398"/>
      <c r="E181" s="398"/>
      <c r="F181" s="386"/>
      <c r="G181" s="386"/>
      <c r="H181" s="386"/>
      <c r="I181" s="386"/>
      <c r="J181" s="386"/>
    </row>
    <row r="182" spans="1:10" ht="16.5">
      <c r="A182" s="398"/>
      <c r="B182" s="399"/>
      <c r="C182" s="385"/>
      <c r="D182" s="398"/>
      <c r="E182" s="398"/>
      <c r="F182" s="386"/>
      <c r="G182" s="386"/>
      <c r="H182" s="386"/>
      <c r="I182" s="386"/>
      <c r="J182" s="386"/>
    </row>
    <row r="183" spans="1:10" ht="16.5">
      <c r="A183" s="398"/>
      <c r="B183" s="399"/>
      <c r="C183" s="385"/>
      <c r="D183" s="398"/>
      <c r="E183" s="398"/>
      <c r="F183" s="386"/>
      <c r="G183" s="386"/>
      <c r="H183" s="386"/>
      <c r="I183" s="386"/>
      <c r="J183" s="386"/>
    </row>
    <row r="184" spans="1:10" ht="16.5">
      <c r="A184" s="398"/>
      <c r="B184" s="399"/>
      <c r="C184" s="385"/>
      <c r="D184" s="398"/>
      <c r="E184" s="398"/>
      <c r="F184" s="386"/>
      <c r="G184" s="386"/>
      <c r="H184" s="386"/>
      <c r="I184" s="386"/>
      <c r="J184" s="386"/>
    </row>
    <row r="185" spans="1:10" ht="16.5">
      <c r="A185" s="398"/>
      <c r="B185" s="399"/>
      <c r="C185" s="385"/>
      <c r="D185" s="398"/>
      <c r="E185" s="398"/>
      <c r="F185" s="386"/>
      <c r="G185" s="386"/>
      <c r="H185" s="386"/>
      <c r="I185" s="386"/>
      <c r="J185" s="386"/>
    </row>
    <row r="186" spans="1:10" ht="16.5">
      <c r="A186" s="398"/>
      <c r="B186" s="399"/>
      <c r="C186" s="385"/>
      <c r="D186" s="398"/>
      <c r="E186" s="398"/>
      <c r="F186" s="386"/>
      <c r="G186" s="386"/>
      <c r="H186" s="386"/>
      <c r="I186" s="386"/>
      <c r="J186" s="386"/>
    </row>
    <row r="187" spans="1:10" ht="16.5">
      <c r="A187" s="398"/>
      <c r="B187" s="399"/>
      <c r="C187" s="385"/>
      <c r="D187" s="398"/>
      <c r="E187" s="398"/>
      <c r="F187" s="386"/>
      <c r="G187" s="386"/>
      <c r="H187" s="386"/>
      <c r="I187" s="386"/>
      <c r="J187" s="386"/>
    </row>
    <row r="188" spans="1:10" ht="16.5">
      <c r="A188" s="398"/>
      <c r="B188" s="399"/>
      <c r="C188" s="385"/>
      <c r="D188" s="398"/>
      <c r="E188" s="398"/>
      <c r="F188" s="386"/>
      <c r="G188" s="386"/>
      <c r="H188" s="386"/>
      <c r="I188" s="386"/>
      <c r="J188" s="386"/>
    </row>
    <row r="189" spans="1:10" ht="16.5">
      <c r="A189" s="398"/>
      <c r="B189" s="399"/>
      <c r="C189" s="385"/>
      <c r="D189" s="398"/>
      <c r="E189" s="398"/>
      <c r="F189" s="386"/>
      <c r="G189" s="386"/>
      <c r="H189" s="386"/>
      <c r="I189" s="386"/>
      <c r="J189" s="386"/>
    </row>
    <row r="190" spans="1:10" ht="16.5">
      <c r="A190" s="398"/>
      <c r="B190" s="399"/>
      <c r="C190" s="385"/>
      <c r="D190" s="398"/>
      <c r="E190" s="398"/>
      <c r="F190" s="386"/>
      <c r="G190" s="386"/>
      <c r="H190" s="386"/>
      <c r="I190" s="386"/>
      <c r="J190" s="386"/>
    </row>
    <row r="191" spans="1:10" ht="16.5">
      <c r="A191" s="398"/>
      <c r="B191" s="399"/>
      <c r="C191" s="385"/>
      <c r="D191" s="398"/>
      <c r="E191" s="398"/>
      <c r="F191" s="386"/>
      <c r="G191" s="386"/>
      <c r="H191" s="386"/>
      <c r="I191" s="386"/>
      <c r="J191" s="386"/>
    </row>
    <row r="192" spans="1:10" ht="16.5">
      <c r="A192" s="398"/>
      <c r="B192" s="399"/>
      <c r="C192" s="385"/>
      <c r="D192" s="398"/>
      <c r="E192" s="398"/>
      <c r="F192" s="386"/>
      <c r="G192" s="386"/>
      <c r="H192" s="386"/>
      <c r="I192" s="386"/>
      <c r="J192" s="386"/>
    </row>
    <row r="193" spans="1:10" ht="16.5">
      <c r="A193" s="398"/>
      <c r="B193" s="399"/>
      <c r="C193" s="385"/>
      <c r="D193" s="398"/>
      <c r="E193" s="398"/>
      <c r="F193" s="386"/>
      <c r="G193" s="386"/>
      <c r="H193" s="386"/>
      <c r="I193" s="386"/>
      <c r="J193" s="386"/>
    </row>
    <row r="194" spans="1:10" ht="16.5">
      <c r="A194" s="398"/>
      <c r="B194" s="399"/>
      <c r="C194" s="385"/>
      <c r="D194" s="398"/>
      <c r="E194" s="398"/>
      <c r="F194" s="386"/>
      <c r="G194" s="386"/>
      <c r="H194" s="386"/>
      <c r="I194" s="386"/>
      <c r="J194" s="386"/>
    </row>
    <row r="195" spans="1:10" ht="16.5">
      <c r="A195" s="398"/>
      <c r="B195" s="399"/>
      <c r="C195" s="385"/>
      <c r="D195" s="398"/>
      <c r="E195" s="398"/>
      <c r="F195" s="386"/>
      <c r="G195" s="386"/>
      <c r="H195" s="386"/>
      <c r="I195" s="386"/>
      <c r="J195" s="386"/>
    </row>
    <row r="196" spans="1:10" ht="16.5">
      <c r="A196" s="398"/>
      <c r="B196" s="399"/>
      <c r="C196" s="385"/>
      <c r="D196" s="398"/>
      <c r="E196" s="398"/>
      <c r="F196" s="386"/>
      <c r="G196" s="386"/>
      <c r="H196" s="386"/>
      <c r="I196" s="386"/>
      <c r="J196" s="386"/>
    </row>
    <row r="197" spans="1:10" ht="16.5">
      <c r="A197" s="398"/>
      <c r="B197" s="399"/>
      <c r="C197" s="385"/>
      <c r="D197" s="398"/>
      <c r="E197" s="398"/>
      <c r="F197" s="386"/>
      <c r="G197" s="386"/>
      <c r="H197" s="386"/>
      <c r="I197" s="386"/>
      <c r="J197" s="386"/>
    </row>
    <row r="198" spans="1:10" ht="16.5">
      <c r="A198" s="398"/>
      <c r="B198" s="399"/>
      <c r="C198" s="385"/>
      <c r="D198" s="398"/>
      <c r="E198" s="398"/>
      <c r="F198" s="386"/>
      <c r="G198" s="386"/>
      <c r="H198" s="386"/>
      <c r="I198" s="386"/>
      <c r="J198" s="386"/>
    </row>
    <row r="199" spans="1:10" ht="16.5">
      <c r="A199" s="398"/>
      <c r="B199" s="399"/>
      <c r="C199" s="385"/>
      <c r="D199" s="398"/>
      <c r="E199" s="398"/>
      <c r="F199" s="386"/>
      <c r="G199" s="386"/>
      <c r="H199" s="386"/>
      <c r="I199" s="386"/>
      <c r="J199" s="386"/>
    </row>
    <row r="200" spans="1:10" ht="16.5">
      <c r="A200" s="398"/>
      <c r="B200" s="399"/>
      <c r="C200" s="385"/>
      <c r="D200" s="398"/>
      <c r="E200" s="398"/>
      <c r="F200" s="386"/>
      <c r="G200" s="386"/>
      <c r="H200" s="386"/>
      <c r="I200" s="386"/>
      <c r="J200" s="386"/>
    </row>
    <row r="201" spans="1:10" ht="16.5">
      <c r="A201" s="398"/>
      <c r="B201" s="399"/>
      <c r="C201" s="385"/>
      <c r="D201" s="398"/>
      <c r="E201" s="398"/>
      <c r="F201" s="386"/>
      <c r="G201" s="386"/>
      <c r="H201" s="386"/>
      <c r="I201" s="386"/>
      <c r="J201" s="386"/>
    </row>
    <row r="202" spans="1:10" ht="16.5">
      <c r="A202" s="398"/>
      <c r="B202" s="399"/>
      <c r="C202" s="385"/>
      <c r="D202" s="398"/>
      <c r="E202" s="398"/>
      <c r="F202" s="386"/>
      <c r="G202" s="386"/>
      <c r="H202" s="386"/>
      <c r="I202" s="386"/>
      <c r="J202" s="386"/>
    </row>
    <row r="203" spans="1:10" ht="16.5">
      <c r="A203" s="398"/>
      <c r="B203" s="399"/>
      <c r="C203" s="385"/>
      <c r="D203" s="398"/>
      <c r="E203" s="398"/>
      <c r="F203" s="386"/>
      <c r="G203" s="386"/>
      <c r="H203" s="386"/>
      <c r="I203" s="386"/>
      <c r="J203" s="386"/>
    </row>
    <row r="204" spans="1:10" ht="16.5">
      <c r="A204" s="398"/>
      <c r="B204" s="399"/>
      <c r="C204" s="385"/>
      <c r="D204" s="398"/>
      <c r="E204" s="398"/>
      <c r="F204" s="386"/>
      <c r="G204" s="386"/>
      <c r="H204" s="386"/>
      <c r="I204" s="386"/>
      <c r="J204" s="386"/>
    </row>
    <row r="205" spans="1:10" ht="16.5">
      <c r="A205" s="398"/>
      <c r="B205" s="399"/>
      <c r="C205" s="385"/>
      <c r="D205" s="398"/>
      <c r="E205" s="398"/>
      <c r="F205" s="386"/>
      <c r="G205" s="386"/>
      <c r="H205" s="386"/>
      <c r="I205" s="386"/>
      <c r="J205" s="386"/>
    </row>
    <row r="206" spans="1:10" ht="16.5">
      <c r="A206" s="398"/>
      <c r="B206" s="399"/>
      <c r="C206" s="385"/>
      <c r="D206" s="398"/>
      <c r="E206" s="398"/>
      <c r="F206" s="386"/>
      <c r="G206" s="386"/>
      <c r="H206" s="386"/>
      <c r="I206" s="386"/>
      <c r="J206" s="386"/>
    </row>
    <row r="207" spans="1:10" ht="16.5">
      <c r="A207" s="398"/>
      <c r="B207" s="399"/>
      <c r="C207" s="385"/>
      <c r="D207" s="398"/>
      <c r="E207" s="398"/>
      <c r="F207" s="386"/>
      <c r="G207" s="386"/>
      <c r="H207" s="386"/>
      <c r="I207" s="386"/>
      <c r="J207" s="386"/>
    </row>
    <row r="208" spans="1:10" ht="16.5">
      <c r="A208" s="398"/>
      <c r="B208" s="399"/>
      <c r="C208" s="385"/>
      <c r="D208" s="398"/>
      <c r="E208" s="398"/>
      <c r="F208" s="386"/>
      <c r="G208" s="386"/>
      <c r="H208" s="386"/>
      <c r="I208" s="386"/>
      <c r="J208" s="386"/>
    </row>
    <row r="209" spans="1:10" ht="16.5">
      <c r="A209" s="398"/>
      <c r="B209" s="399"/>
      <c r="C209" s="385"/>
      <c r="D209" s="398"/>
      <c r="E209" s="398"/>
      <c r="F209" s="386"/>
      <c r="G209" s="386"/>
      <c r="H209" s="386"/>
      <c r="I209" s="386"/>
      <c r="J209" s="386"/>
    </row>
    <row r="210" spans="1:10" ht="16.5">
      <c r="A210" s="398"/>
      <c r="B210" s="399"/>
      <c r="C210" s="385"/>
      <c r="D210" s="398"/>
      <c r="E210" s="398"/>
      <c r="F210" s="386"/>
      <c r="G210" s="386"/>
      <c r="H210" s="386"/>
      <c r="I210" s="386"/>
      <c r="J210" s="386"/>
    </row>
    <row r="211" spans="1:10" ht="16.5">
      <c r="A211" s="398"/>
      <c r="B211" s="399"/>
      <c r="C211" s="385"/>
      <c r="D211" s="398"/>
      <c r="E211" s="398"/>
      <c r="F211" s="386"/>
      <c r="G211" s="386"/>
      <c r="H211" s="386"/>
      <c r="I211" s="386"/>
      <c r="J211" s="386"/>
    </row>
    <row r="212" spans="1:10" ht="16.5">
      <c r="A212" s="398"/>
      <c r="B212" s="399"/>
      <c r="C212" s="385"/>
      <c r="D212" s="398"/>
      <c r="E212" s="398"/>
      <c r="F212" s="386"/>
      <c r="G212" s="386"/>
      <c r="H212" s="386"/>
      <c r="I212" s="386"/>
      <c r="J212" s="386"/>
    </row>
    <row r="213" spans="1:10" ht="16.5">
      <c r="A213" s="398"/>
      <c r="B213" s="399"/>
      <c r="C213" s="385"/>
      <c r="D213" s="398"/>
      <c r="E213" s="398"/>
      <c r="F213" s="386"/>
      <c r="G213" s="386"/>
      <c r="H213" s="386"/>
      <c r="I213" s="386"/>
      <c r="J213" s="386"/>
    </row>
    <row r="214" spans="1:10" ht="16.5">
      <c r="A214" s="398"/>
      <c r="B214" s="399"/>
      <c r="C214" s="385"/>
      <c r="D214" s="398"/>
      <c r="E214" s="398"/>
      <c r="F214" s="386"/>
      <c r="G214" s="386"/>
      <c r="H214" s="386"/>
      <c r="I214" s="386"/>
      <c r="J214" s="386"/>
    </row>
    <row r="215" spans="1:10" ht="16.5">
      <c r="A215" s="398"/>
      <c r="B215" s="399"/>
      <c r="C215" s="385"/>
      <c r="D215" s="398"/>
      <c r="E215" s="398"/>
      <c r="F215" s="386"/>
      <c r="G215" s="386"/>
      <c r="H215" s="386"/>
      <c r="I215" s="386"/>
      <c r="J215" s="386"/>
    </row>
    <row r="216" spans="1:10" ht="16.5">
      <c r="A216" s="398"/>
      <c r="B216" s="399"/>
      <c r="C216" s="385"/>
      <c r="D216" s="398"/>
      <c r="E216" s="398"/>
      <c r="F216" s="386"/>
      <c r="G216" s="386"/>
      <c r="H216" s="386"/>
      <c r="I216" s="386"/>
      <c r="J216" s="386"/>
    </row>
    <row r="217" spans="1:10" ht="16.5">
      <c r="A217" s="398"/>
      <c r="B217" s="399"/>
      <c r="C217" s="385"/>
      <c r="D217" s="398"/>
      <c r="E217" s="398"/>
      <c r="F217" s="386"/>
      <c r="G217" s="386"/>
      <c r="H217" s="386"/>
      <c r="I217" s="386"/>
      <c r="J217" s="386"/>
    </row>
    <row r="218" spans="1:10" ht="16.5">
      <c r="A218" s="398"/>
      <c r="B218" s="399"/>
      <c r="C218" s="385"/>
      <c r="D218" s="398"/>
      <c r="E218" s="398"/>
      <c r="F218" s="386"/>
      <c r="G218" s="386"/>
      <c r="H218" s="386"/>
      <c r="I218" s="386"/>
      <c r="J218" s="386"/>
    </row>
    <row r="219" spans="1:10" ht="16.5">
      <c r="A219" s="398"/>
      <c r="B219" s="399"/>
      <c r="C219" s="385"/>
      <c r="D219" s="398"/>
      <c r="E219" s="398"/>
      <c r="F219" s="386"/>
      <c r="G219" s="386"/>
      <c r="H219" s="386"/>
      <c r="I219" s="386"/>
      <c r="J219" s="386"/>
    </row>
    <row r="220" spans="1:10" ht="16.5">
      <c r="A220" s="398"/>
      <c r="B220" s="399"/>
      <c r="C220" s="385"/>
      <c r="D220" s="398"/>
      <c r="E220" s="398"/>
      <c r="F220" s="386"/>
      <c r="G220" s="386"/>
      <c r="H220" s="386"/>
      <c r="I220" s="386"/>
      <c r="J220" s="386"/>
    </row>
    <row r="221" spans="1:10" ht="16.5">
      <c r="A221" s="398"/>
      <c r="B221" s="399"/>
      <c r="C221" s="385"/>
      <c r="D221" s="398"/>
      <c r="E221" s="398"/>
      <c r="F221" s="386"/>
      <c r="G221" s="386"/>
      <c r="H221" s="386"/>
      <c r="I221" s="386"/>
      <c r="J221" s="386"/>
    </row>
    <row r="222" spans="1:10" ht="16.5">
      <c r="A222" s="398"/>
      <c r="B222" s="399"/>
      <c r="C222" s="385"/>
      <c r="D222" s="398"/>
      <c r="E222" s="398"/>
      <c r="F222" s="386"/>
      <c r="G222" s="386"/>
      <c r="H222" s="386"/>
      <c r="I222" s="386"/>
      <c r="J222" s="386"/>
    </row>
    <row r="223" spans="1:10" ht="16.5">
      <c r="A223" s="398"/>
      <c r="B223" s="399"/>
      <c r="C223" s="385"/>
      <c r="D223" s="398"/>
      <c r="E223" s="398"/>
      <c r="F223" s="386"/>
      <c r="G223" s="386"/>
      <c r="H223" s="386"/>
      <c r="I223" s="386"/>
      <c r="J223" s="386"/>
    </row>
    <row r="224" spans="1:10" ht="16.5">
      <c r="A224" s="398"/>
      <c r="B224" s="399"/>
      <c r="C224" s="385"/>
      <c r="D224" s="398"/>
      <c r="E224" s="398"/>
      <c r="F224" s="386"/>
      <c r="G224" s="386"/>
      <c r="H224" s="386"/>
      <c r="I224" s="386"/>
      <c r="J224" s="386"/>
    </row>
    <row r="225" spans="1:10" ht="16.5">
      <c r="A225" s="398"/>
      <c r="B225" s="399"/>
      <c r="C225" s="385"/>
      <c r="D225" s="398"/>
      <c r="E225" s="398"/>
      <c r="F225" s="386"/>
      <c r="G225" s="386"/>
      <c r="H225" s="386"/>
      <c r="I225" s="386"/>
      <c r="J225" s="386"/>
    </row>
    <row r="226" spans="1:10" ht="16.5">
      <c r="A226" s="398"/>
      <c r="B226" s="399"/>
      <c r="C226" s="385"/>
      <c r="D226" s="398"/>
      <c r="E226" s="398"/>
      <c r="F226" s="386"/>
      <c r="G226" s="386"/>
      <c r="H226" s="386"/>
      <c r="I226" s="386"/>
      <c r="J226" s="386"/>
    </row>
    <row r="227" spans="1:10" ht="16.5">
      <c r="A227" s="398"/>
      <c r="B227" s="399"/>
      <c r="C227" s="385"/>
      <c r="D227" s="398"/>
      <c r="E227" s="398"/>
      <c r="F227" s="386"/>
      <c r="G227" s="386"/>
      <c r="H227" s="386"/>
      <c r="I227" s="386"/>
      <c r="J227" s="386"/>
    </row>
    <row r="228" spans="1:10" ht="16.5">
      <c r="A228" s="398"/>
      <c r="B228" s="399"/>
      <c r="C228" s="385"/>
      <c r="D228" s="398"/>
      <c r="E228" s="398"/>
      <c r="F228" s="386"/>
      <c r="G228" s="386"/>
      <c r="H228" s="386"/>
      <c r="I228" s="386"/>
      <c r="J228" s="386"/>
    </row>
    <row r="229" spans="1:10" ht="16.5">
      <c r="A229" s="398"/>
      <c r="B229" s="399"/>
      <c r="C229" s="385"/>
      <c r="D229" s="398"/>
      <c r="E229" s="398"/>
      <c r="F229" s="386"/>
      <c r="G229" s="386"/>
      <c r="H229" s="386"/>
      <c r="I229" s="386"/>
      <c r="J229" s="386"/>
    </row>
    <row r="230" spans="1:10" ht="16.5">
      <c r="A230" s="398"/>
      <c r="B230" s="399"/>
      <c r="C230" s="385"/>
      <c r="D230" s="398"/>
      <c r="E230" s="398"/>
      <c r="F230" s="386"/>
      <c r="G230" s="386"/>
      <c r="H230" s="386"/>
      <c r="I230" s="386"/>
      <c r="J230" s="386"/>
    </row>
    <row r="231" spans="1:10" ht="16.5">
      <c r="A231" s="398"/>
      <c r="B231" s="399"/>
      <c r="C231" s="385"/>
      <c r="D231" s="398"/>
      <c r="E231" s="398"/>
      <c r="F231" s="386"/>
      <c r="G231" s="386"/>
      <c r="H231" s="386"/>
      <c r="I231" s="386"/>
      <c r="J231" s="386"/>
    </row>
    <row r="232" spans="1:10" ht="16.5">
      <c r="A232" s="398"/>
      <c r="B232" s="399"/>
      <c r="C232" s="385"/>
      <c r="D232" s="398"/>
      <c r="E232" s="398"/>
      <c r="F232" s="386"/>
      <c r="G232" s="386"/>
      <c r="H232" s="386"/>
      <c r="I232" s="386"/>
      <c r="J232" s="386"/>
    </row>
    <row r="233" spans="1:10" ht="16.5">
      <c r="A233" s="398"/>
      <c r="B233" s="399"/>
      <c r="C233" s="385"/>
      <c r="D233" s="398"/>
      <c r="E233" s="398"/>
      <c r="F233" s="386"/>
      <c r="G233" s="386"/>
      <c r="H233" s="386"/>
      <c r="I233" s="386"/>
      <c r="J233" s="386"/>
    </row>
    <row r="234" spans="1:10" ht="16.5">
      <c r="A234" s="398"/>
      <c r="B234" s="399"/>
      <c r="C234" s="385"/>
      <c r="D234" s="398"/>
      <c r="E234" s="398"/>
      <c r="F234" s="386"/>
      <c r="G234" s="386"/>
      <c r="H234" s="386"/>
      <c r="I234" s="386"/>
      <c r="J234" s="386"/>
    </row>
    <row r="235" spans="1:10" ht="16.5">
      <c r="A235" s="398"/>
      <c r="B235" s="399"/>
      <c r="C235" s="385"/>
      <c r="D235" s="398"/>
      <c r="E235" s="398"/>
      <c r="F235" s="386"/>
      <c r="G235" s="386"/>
      <c r="H235" s="386"/>
      <c r="I235" s="386"/>
      <c r="J235" s="386"/>
    </row>
    <row r="236" spans="1:10" ht="16.5">
      <c r="A236" s="398"/>
      <c r="B236" s="399"/>
      <c r="C236" s="385"/>
      <c r="D236" s="398"/>
      <c r="E236" s="398"/>
      <c r="F236" s="386"/>
      <c r="G236" s="386"/>
      <c r="H236" s="386"/>
      <c r="I236" s="386"/>
      <c r="J236" s="386"/>
    </row>
    <row r="237" spans="1:10" ht="16.5">
      <c r="A237" s="398"/>
      <c r="B237" s="399"/>
      <c r="C237" s="385"/>
      <c r="D237" s="398"/>
      <c r="E237" s="398"/>
      <c r="F237" s="386"/>
      <c r="G237" s="386"/>
      <c r="H237" s="386"/>
      <c r="I237" s="386"/>
      <c r="J237" s="386"/>
    </row>
    <row r="238" spans="1:10" ht="16.5">
      <c r="A238" s="398"/>
      <c r="B238" s="399"/>
      <c r="C238" s="385"/>
      <c r="D238" s="398"/>
      <c r="E238" s="398"/>
      <c r="F238" s="386"/>
      <c r="G238" s="386"/>
      <c r="H238" s="386"/>
      <c r="I238" s="386"/>
      <c r="J238" s="386"/>
    </row>
    <row r="239" spans="1:10" ht="16.5">
      <c r="A239" s="398"/>
      <c r="B239" s="399"/>
      <c r="C239" s="385"/>
      <c r="D239" s="398"/>
      <c r="E239" s="398"/>
      <c r="F239" s="386"/>
      <c r="G239" s="386"/>
      <c r="H239" s="386"/>
      <c r="I239" s="386"/>
      <c r="J239" s="386"/>
    </row>
    <row r="240" spans="1:10" ht="16.5">
      <c r="A240" s="398"/>
      <c r="B240" s="399"/>
      <c r="C240" s="385"/>
      <c r="D240" s="398"/>
      <c r="E240" s="398"/>
      <c r="F240" s="386"/>
      <c r="G240" s="386"/>
      <c r="H240" s="386"/>
      <c r="I240" s="386"/>
      <c r="J240" s="386"/>
    </row>
    <row r="241" spans="1:10" ht="16.5">
      <c r="A241" s="398"/>
      <c r="B241" s="399"/>
      <c r="C241" s="385"/>
      <c r="D241" s="398"/>
      <c r="E241" s="398"/>
      <c r="F241" s="386"/>
      <c r="G241" s="386"/>
      <c r="H241" s="386"/>
      <c r="I241" s="386"/>
      <c r="J241" s="386"/>
    </row>
    <row r="242" spans="1:10" ht="16.5">
      <c r="A242" s="398"/>
      <c r="B242" s="399"/>
      <c r="C242" s="385"/>
      <c r="D242" s="398"/>
      <c r="E242" s="398"/>
      <c r="F242" s="386"/>
      <c r="G242" s="386"/>
      <c r="H242" s="386"/>
      <c r="I242" s="386"/>
      <c r="J242" s="386"/>
    </row>
    <row r="243" spans="1:10" ht="16.5">
      <c r="A243" s="398"/>
      <c r="B243" s="399"/>
      <c r="C243" s="385"/>
      <c r="D243" s="398"/>
      <c r="E243" s="398"/>
      <c r="F243" s="386"/>
      <c r="G243" s="386"/>
      <c r="H243" s="386"/>
      <c r="I243" s="386"/>
      <c r="J243" s="386"/>
    </row>
    <row r="244" spans="1:10" ht="16.5">
      <c r="A244" s="398"/>
      <c r="B244" s="399"/>
      <c r="C244" s="385"/>
      <c r="D244" s="398"/>
      <c r="E244" s="398"/>
      <c r="F244" s="386"/>
      <c r="G244" s="386"/>
      <c r="H244" s="386"/>
      <c r="I244" s="386"/>
      <c r="J244" s="386"/>
    </row>
    <row r="245" spans="1:10" ht="16.5">
      <c r="A245" s="398"/>
      <c r="B245" s="399"/>
      <c r="C245" s="385"/>
      <c r="D245" s="398"/>
      <c r="E245" s="398"/>
      <c r="F245" s="386"/>
      <c r="G245" s="386"/>
      <c r="H245" s="386"/>
      <c r="I245" s="386"/>
      <c r="J245" s="386"/>
    </row>
    <row r="246" spans="1:10" ht="16.5">
      <c r="A246" s="398"/>
      <c r="B246" s="399"/>
      <c r="C246" s="385"/>
      <c r="D246" s="398"/>
      <c r="E246" s="398"/>
      <c r="F246" s="386"/>
      <c r="G246" s="386"/>
      <c r="H246" s="386"/>
      <c r="I246" s="386"/>
      <c r="J246" s="386"/>
    </row>
    <row r="247" spans="1:10" ht="16.5">
      <c r="A247" s="398"/>
      <c r="B247" s="399"/>
      <c r="C247" s="385"/>
      <c r="D247" s="398"/>
      <c r="E247" s="398"/>
      <c r="F247" s="386"/>
      <c r="G247" s="386"/>
      <c r="H247" s="386"/>
      <c r="I247" s="386"/>
      <c r="J247" s="386"/>
    </row>
    <row r="248" spans="1:10" ht="16.5">
      <c r="A248" s="398"/>
      <c r="B248" s="399"/>
      <c r="C248" s="385"/>
      <c r="D248" s="398"/>
      <c r="E248" s="398"/>
      <c r="F248" s="386"/>
      <c r="G248" s="386"/>
      <c r="H248" s="386"/>
      <c r="I248" s="386"/>
      <c r="J248" s="386"/>
    </row>
    <row r="249" spans="1:10" ht="16.5">
      <c r="A249" s="398"/>
      <c r="B249" s="399"/>
      <c r="C249" s="385"/>
      <c r="D249" s="398"/>
      <c r="E249" s="398"/>
      <c r="F249" s="386"/>
      <c r="G249" s="386"/>
      <c r="H249" s="386"/>
      <c r="I249" s="386"/>
      <c r="J249" s="386"/>
    </row>
    <row r="250" spans="1:10" ht="16.5">
      <c r="A250" s="398"/>
      <c r="B250" s="399"/>
      <c r="C250" s="385"/>
      <c r="D250" s="398"/>
      <c r="E250" s="398"/>
      <c r="F250" s="386"/>
      <c r="G250" s="386"/>
      <c r="H250" s="386"/>
      <c r="I250" s="386"/>
      <c r="J250" s="386"/>
    </row>
  </sheetData>
  <sheetProtection/>
  <mergeCells count="10">
    <mergeCell ref="G1:H1"/>
    <mergeCell ref="I1:J1"/>
    <mergeCell ref="B2:J2"/>
    <mergeCell ref="A3:J3"/>
    <mergeCell ref="E5:E6"/>
    <mergeCell ref="F5:J5"/>
    <mergeCell ref="A5:A6"/>
    <mergeCell ref="B5:B6"/>
    <mergeCell ref="C5:C6"/>
    <mergeCell ref="D5:D6"/>
  </mergeCells>
  <printOptions/>
  <pageMargins left="0.7" right="0.7" top="0.21" bottom="0.29" header="0.2" footer="0.3"/>
  <pageSetup horizontalDpi="600" verticalDpi="600" orientation="landscape" paperSize="9" scale="85" r:id="rId1"/>
  <colBreaks count="1" manualBreakCount="1">
    <brk id="10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U191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5.57421875" style="405" customWidth="1"/>
    <col min="2" max="2" width="40.140625" style="382" customWidth="1"/>
    <col min="3" max="3" width="14.140625" style="383" customWidth="1"/>
    <col min="4" max="5" width="14.421875" style="383" customWidth="1"/>
    <col min="6" max="10" width="12.421875" style="381" customWidth="1"/>
    <col min="11" max="16384" width="9.140625" style="381" customWidth="1"/>
  </cols>
  <sheetData>
    <row r="1" spans="1:10" ht="24.75" customHeight="1">
      <c r="A1" s="381"/>
      <c r="B1" s="458" t="s">
        <v>366</v>
      </c>
      <c r="G1" s="965" t="s">
        <v>560</v>
      </c>
      <c r="H1" s="965"/>
      <c r="I1" s="965" t="s">
        <v>566</v>
      </c>
      <c r="J1" s="965"/>
    </row>
    <row r="2" spans="1:10" ht="18.75" customHeight="1">
      <c r="A2" s="381"/>
      <c r="B2" s="981" t="str">
        <f>+'BM4(B)'!B2:J2</f>
        <v>Huyện Tuần Giáo</v>
      </c>
      <c r="C2" s="981"/>
      <c r="D2" s="981"/>
      <c r="E2" s="981"/>
      <c r="F2" s="981"/>
      <c r="G2" s="981"/>
      <c r="H2" s="981"/>
      <c r="I2" s="981"/>
      <c r="J2" s="981"/>
    </row>
    <row r="3" spans="1:10" ht="21.75" customHeight="1">
      <c r="A3" s="976" t="s">
        <v>672</v>
      </c>
      <c r="B3" s="976"/>
      <c r="C3" s="976"/>
      <c r="D3" s="976"/>
      <c r="E3" s="976"/>
      <c r="F3" s="976"/>
      <c r="G3" s="976"/>
      <c r="H3" s="976"/>
      <c r="I3" s="976"/>
      <c r="J3" s="976"/>
    </row>
    <row r="4" spans="1:10" ht="17.25" customHeight="1">
      <c r="A4" s="398"/>
      <c r="B4" s="399"/>
      <c r="C4" s="385"/>
      <c r="D4" s="385"/>
      <c r="E4" s="385"/>
      <c r="F4" s="386"/>
      <c r="G4" s="386"/>
      <c r="H4" s="386"/>
      <c r="I4" s="386"/>
      <c r="J4" s="386"/>
    </row>
    <row r="5" spans="1:10" ht="23.25" customHeight="1">
      <c r="A5" s="969" t="s">
        <v>0</v>
      </c>
      <c r="B5" s="969" t="s">
        <v>287</v>
      </c>
      <c r="C5" s="969" t="s">
        <v>184</v>
      </c>
      <c r="D5" s="961" t="s">
        <v>563</v>
      </c>
      <c r="E5" s="961" t="s">
        <v>554</v>
      </c>
      <c r="F5" s="971" t="s">
        <v>562</v>
      </c>
      <c r="G5" s="972"/>
      <c r="H5" s="972"/>
      <c r="I5" s="972"/>
      <c r="J5" s="973"/>
    </row>
    <row r="6" spans="1:10" s="426" customFormat="1" ht="30" customHeight="1">
      <c r="A6" s="970"/>
      <c r="B6" s="970"/>
      <c r="C6" s="970"/>
      <c r="D6" s="961"/>
      <c r="E6" s="961"/>
      <c r="F6" s="368" t="s">
        <v>555</v>
      </c>
      <c r="G6" s="368" t="s">
        <v>556</v>
      </c>
      <c r="H6" s="368" t="s">
        <v>557</v>
      </c>
      <c r="I6" s="368" t="s">
        <v>558</v>
      </c>
      <c r="J6" s="368" t="s">
        <v>559</v>
      </c>
    </row>
    <row r="7" spans="1:10" s="408" customFormat="1" ht="22.5" customHeight="1">
      <c r="A7" s="389" t="s">
        <v>101</v>
      </c>
      <c r="B7" s="390" t="s">
        <v>384</v>
      </c>
      <c r="C7" s="387"/>
      <c r="D7" s="733"/>
      <c r="E7" s="733"/>
      <c r="F7" s="734"/>
      <c r="G7" s="734"/>
      <c r="H7" s="734"/>
      <c r="I7" s="631"/>
      <c r="J7" s="631"/>
    </row>
    <row r="8" spans="1:21" s="408" customFormat="1" ht="22.5" customHeight="1">
      <c r="A8" s="389">
        <v>1</v>
      </c>
      <c r="B8" s="394" t="s">
        <v>385</v>
      </c>
      <c r="C8" s="387"/>
      <c r="D8" s="733"/>
      <c r="E8" s="733"/>
      <c r="F8" s="734"/>
      <c r="G8" s="734"/>
      <c r="H8" s="734"/>
      <c r="I8" s="631"/>
      <c r="J8" s="631"/>
      <c r="L8" s="409"/>
      <c r="M8" s="407"/>
      <c r="O8" s="409"/>
      <c r="P8" s="407"/>
      <c r="R8" s="409"/>
      <c r="S8" s="407"/>
      <c r="U8" s="409"/>
    </row>
    <row r="9" spans="1:21" s="386" customFormat="1" ht="24.75" customHeight="1">
      <c r="A9" s="395"/>
      <c r="B9" s="670" t="s">
        <v>586</v>
      </c>
      <c r="C9" s="391" t="s">
        <v>387</v>
      </c>
      <c r="D9" s="735">
        <v>8209</v>
      </c>
      <c r="E9" s="735">
        <v>7595</v>
      </c>
      <c r="F9" s="735">
        <v>7947</v>
      </c>
      <c r="G9" s="735">
        <v>7791</v>
      </c>
      <c r="H9" s="735">
        <v>7628</v>
      </c>
      <c r="I9" s="735">
        <v>7607</v>
      </c>
      <c r="J9" s="735">
        <v>7595</v>
      </c>
      <c r="L9" s="413"/>
      <c r="M9" s="414"/>
      <c r="O9" s="413"/>
      <c r="P9" s="414"/>
      <c r="R9" s="413"/>
      <c r="S9" s="414"/>
      <c r="U9" s="413"/>
    </row>
    <row r="10" spans="1:21" s="408" customFormat="1" ht="22.5" customHeight="1">
      <c r="A10" s="395"/>
      <c r="B10" s="593" t="s">
        <v>386</v>
      </c>
      <c r="C10" s="391" t="s">
        <v>387</v>
      </c>
      <c r="D10" s="716">
        <v>5947</v>
      </c>
      <c r="E10" s="716">
        <v>5033</v>
      </c>
      <c r="F10" s="716">
        <v>5600</v>
      </c>
      <c r="G10" s="716">
        <v>5390</v>
      </c>
      <c r="H10" s="716">
        <v>5157</v>
      </c>
      <c r="I10" s="716">
        <v>5094</v>
      </c>
      <c r="J10" s="716">
        <v>5033</v>
      </c>
      <c r="L10" s="409"/>
      <c r="M10" s="407"/>
      <c r="O10" s="409"/>
      <c r="P10" s="407"/>
      <c r="R10" s="409"/>
      <c r="S10" s="407"/>
      <c r="U10" s="409"/>
    </row>
    <row r="11" spans="1:21" s="408" customFormat="1" ht="34.5" customHeight="1">
      <c r="A11" s="395"/>
      <c r="B11" s="671" t="s">
        <v>587</v>
      </c>
      <c r="C11" s="391" t="s">
        <v>5</v>
      </c>
      <c r="D11" s="715">
        <v>51.3</v>
      </c>
      <c r="E11" s="715">
        <v>55</v>
      </c>
      <c r="F11" s="715">
        <v>51.5</v>
      </c>
      <c r="G11" s="715">
        <v>52</v>
      </c>
      <c r="H11" s="715">
        <v>53</v>
      </c>
      <c r="I11" s="715">
        <v>54</v>
      </c>
      <c r="J11" s="715">
        <v>55.00000000000001</v>
      </c>
      <c r="L11" s="409"/>
      <c r="M11" s="407"/>
      <c r="O11" s="409"/>
      <c r="P11" s="407"/>
      <c r="R11" s="409"/>
      <c r="S11" s="407"/>
      <c r="U11" s="409"/>
    </row>
    <row r="12" spans="1:21" s="408" customFormat="1" ht="22.5" customHeight="1">
      <c r="A12" s="395"/>
      <c r="B12" s="671" t="s">
        <v>588</v>
      </c>
      <c r="C12" s="391" t="s">
        <v>5</v>
      </c>
      <c r="D12" s="715">
        <v>99.8</v>
      </c>
      <c r="E12" s="715">
        <v>99.8</v>
      </c>
      <c r="F12" s="715">
        <v>99.8</v>
      </c>
      <c r="G12" s="715">
        <v>99.8</v>
      </c>
      <c r="H12" s="715">
        <v>99.8</v>
      </c>
      <c r="I12" s="715">
        <v>99.8</v>
      </c>
      <c r="J12" s="715">
        <v>99.8</v>
      </c>
      <c r="L12" s="409"/>
      <c r="M12" s="407"/>
      <c r="O12" s="409"/>
      <c r="P12" s="407"/>
      <c r="R12" s="409"/>
      <c r="S12" s="407"/>
      <c r="U12" s="409"/>
    </row>
    <row r="13" spans="1:21" s="408" customFormat="1" ht="22.5" customHeight="1">
      <c r="A13" s="395"/>
      <c r="B13" s="671" t="s">
        <v>589</v>
      </c>
      <c r="C13" s="391" t="s">
        <v>5</v>
      </c>
      <c r="D13" s="715">
        <v>99.8</v>
      </c>
      <c r="E13" s="715">
        <v>99.8</v>
      </c>
      <c r="F13" s="715">
        <v>99.8</v>
      </c>
      <c r="G13" s="715">
        <v>99.8</v>
      </c>
      <c r="H13" s="715">
        <v>99.8</v>
      </c>
      <c r="I13" s="715">
        <v>99.8</v>
      </c>
      <c r="J13" s="715">
        <v>99.8</v>
      </c>
      <c r="L13" s="409"/>
      <c r="M13" s="407"/>
      <c r="O13" s="409"/>
      <c r="P13" s="407"/>
      <c r="R13" s="409"/>
      <c r="S13" s="407"/>
      <c r="U13" s="409"/>
    </row>
    <row r="14" spans="1:10" s="408" customFormat="1" ht="22.5" customHeight="1">
      <c r="A14" s="389">
        <v>2</v>
      </c>
      <c r="B14" s="390" t="s">
        <v>388</v>
      </c>
      <c r="C14" s="391"/>
      <c r="D14" s="736"/>
      <c r="E14" s="392"/>
      <c r="F14" s="392"/>
      <c r="G14" s="392"/>
      <c r="H14" s="392"/>
      <c r="I14" s="392"/>
      <c r="J14" s="392"/>
    </row>
    <row r="15" spans="1:10" s="386" customFormat="1" ht="22.5" customHeight="1">
      <c r="A15" s="395"/>
      <c r="B15" s="425" t="s">
        <v>389</v>
      </c>
      <c r="C15" s="391" t="s">
        <v>387</v>
      </c>
      <c r="D15" s="735">
        <v>10290</v>
      </c>
      <c r="E15" s="735">
        <v>8936</v>
      </c>
      <c r="F15" s="735">
        <v>10357</v>
      </c>
      <c r="G15" s="735">
        <v>10203</v>
      </c>
      <c r="H15" s="735">
        <v>9869</v>
      </c>
      <c r="I15" s="735">
        <v>9513</v>
      </c>
      <c r="J15" s="735">
        <v>8936</v>
      </c>
    </row>
    <row r="16" spans="1:10" s="386" customFormat="1" ht="22.5" customHeight="1">
      <c r="A16" s="395"/>
      <c r="B16" s="671" t="s">
        <v>590</v>
      </c>
      <c r="C16" s="391" t="s">
        <v>5</v>
      </c>
      <c r="D16" s="715">
        <v>99.8</v>
      </c>
      <c r="E16" s="715">
        <v>99.8</v>
      </c>
      <c r="F16" s="715">
        <v>99.8</v>
      </c>
      <c r="G16" s="715">
        <v>99.8</v>
      </c>
      <c r="H16" s="715">
        <v>99.8</v>
      </c>
      <c r="I16" s="715">
        <v>99.8</v>
      </c>
      <c r="J16" s="715">
        <v>99.8</v>
      </c>
    </row>
    <row r="17" spans="1:10" s="386" customFormat="1" ht="22.5" customHeight="1">
      <c r="A17" s="395"/>
      <c r="B17" s="671" t="s">
        <v>591</v>
      </c>
      <c r="C17" s="391" t="s">
        <v>5</v>
      </c>
      <c r="D17" s="715">
        <v>99.7</v>
      </c>
      <c r="E17" s="715">
        <v>99.7</v>
      </c>
      <c r="F17" s="715">
        <v>99.7</v>
      </c>
      <c r="G17" s="715">
        <v>99.7</v>
      </c>
      <c r="H17" s="715">
        <v>99.7</v>
      </c>
      <c r="I17" s="715">
        <v>99.7</v>
      </c>
      <c r="J17" s="715">
        <v>99.7</v>
      </c>
    </row>
    <row r="18" spans="1:10" s="386" customFormat="1" ht="22.5" customHeight="1">
      <c r="A18" s="672"/>
      <c r="B18" s="671" t="s">
        <v>592</v>
      </c>
      <c r="C18" s="391" t="s">
        <v>5</v>
      </c>
      <c r="D18" s="715">
        <v>99</v>
      </c>
      <c r="E18" s="715">
        <v>99</v>
      </c>
      <c r="F18" s="715">
        <v>99</v>
      </c>
      <c r="G18" s="715">
        <v>99</v>
      </c>
      <c r="H18" s="715">
        <v>99</v>
      </c>
      <c r="I18" s="715">
        <v>99</v>
      </c>
      <c r="J18" s="715">
        <v>99</v>
      </c>
    </row>
    <row r="19" spans="1:21" s="408" customFormat="1" ht="22.5" customHeight="1">
      <c r="A19" s="389">
        <v>3</v>
      </c>
      <c r="B19" s="394" t="s">
        <v>390</v>
      </c>
      <c r="C19" s="391"/>
      <c r="D19" s="736"/>
      <c r="E19" s="392"/>
      <c r="F19" s="392"/>
      <c r="G19" s="392"/>
      <c r="H19" s="392"/>
      <c r="I19" s="392"/>
      <c r="J19" s="392"/>
      <c r="L19" s="409"/>
      <c r="M19" s="407"/>
      <c r="O19" s="409"/>
      <c r="P19" s="407"/>
      <c r="R19" s="409"/>
      <c r="S19" s="407"/>
      <c r="U19" s="409"/>
    </row>
    <row r="20" spans="1:10" s="386" customFormat="1" ht="22.5" customHeight="1">
      <c r="A20" s="395"/>
      <c r="B20" s="425" t="s">
        <v>391</v>
      </c>
      <c r="C20" s="391" t="s">
        <v>387</v>
      </c>
      <c r="D20" s="735">
        <v>6890</v>
      </c>
      <c r="E20" s="735">
        <v>7711</v>
      </c>
      <c r="F20" s="735">
        <v>6929</v>
      </c>
      <c r="G20" s="735">
        <v>7166</v>
      </c>
      <c r="H20" s="735">
        <v>7340</v>
      </c>
      <c r="I20" s="735">
        <v>7506</v>
      </c>
      <c r="J20" s="735">
        <v>7711</v>
      </c>
    </row>
    <row r="21" spans="1:10" s="386" customFormat="1" ht="24" customHeight="1">
      <c r="A21" s="395"/>
      <c r="B21" s="671" t="s">
        <v>593</v>
      </c>
      <c r="C21" s="526" t="s">
        <v>5</v>
      </c>
      <c r="D21" s="715">
        <v>97.4</v>
      </c>
      <c r="E21" s="715">
        <v>97.5</v>
      </c>
      <c r="F21" s="715">
        <v>97.4</v>
      </c>
      <c r="G21" s="715">
        <v>97.4</v>
      </c>
      <c r="H21" s="715">
        <v>97.4</v>
      </c>
      <c r="I21" s="715">
        <v>97.5</v>
      </c>
      <c r="J21" s="715">
        <v>97.5</v>
      </c>
    </row>
    <row r="22" spans="1:10" s="386" customFormat="1" ht="21.75" customHeight="1">
      <c r="A22" s="672"/>
      <c r="B22" s="671" t="s">
        <v>594</v>
      </c>
      <c r="C22" s="526" t="s">
        <v>5</v>
      </c>
      <c r="D22" s="715">
        <v>99.8</v>
      </c>
      <c r="E22" s="715">
        <v>99.82592762253779</v>
      </c>
      <c r="F22" s="715">
        <v>99.8</v>
      </c>
      <c r="G22" s="715">
        <v>99.8</v>
      </c>
      <c r="H22" s="715">
        <v>99.8</v>
      </c>
      <c r="I22" s="715">
        <v>99.8</v>
      </c>
      <c r="J22" s="715">
        <v>99.8</v>
      </c>
    </row>
    <row r="23" spans="1:10" s="408" customFormat="1" ht="21.75" customHeight="1" hidden="1">
      <c r="A23" s="389">
        <v>4</v>
      </c>
      <c r="B23" s="390" t="s">
        <v>392</v>
      </c>
      <c r="C23" s="391"/>
      <c r="D23" s="736"/>
      <c r="E23" s="392"/>
      <c r="F23" s="392"/>
      <c r="G23" s="392"/>
      <c r="H23" s="392"/>
      <c r="I23" s="392"/>
      <c r="J23" s="392"/>
    </row>
    <row r="24" spans="1:10" s="386" customFormat="1" ht="21.75" customHeight="1" hidden="1">
      <c r="A24" s="395"/>
      <c r="B24" s="425" t="s">
        <v>393</v>
      </c>
      <c r="C24" s="391" t="s">
        <v>387</v>
      </c>
      <c r="D24" s="737">
        <v>18500</v>
      </c>
      <c r="E24" s="738">
        <v>20350</v>
      </c>
      <c r="F24" s="739">
        <v>18976</v>
      </c>
      <c r="G24" s="738">
        <v>19450</v>
      </c>
      <c r="H24" s="738">
        <v>19850</v>
      </c>
      <c r="I24" s="738">
        <v>20150</v>
      </c>
      <c r="J24" s="738">
        <v>20350</v>
      </c>
    </row>
    <row r="25" spans="1:10" s="386" customFormat="1" ht="21.75" customHeight="1" hidden="1">
      <c r="A25" s="395"/>
      <c r="B25" s="671" t="s">
        <v>595</v>
      </c>
      <c r="C25" s="526" t="s">
        <v>5</v>
      </c>
      <c r="D25" s="740">
        <v>61.4</v>
      </c>
      <c r="E25" s="741">
        <v>65</v>
      </c>
      <c r="F25" s="742">
        <v>61.6</v>
      </c>
      <c r="G25" s="741">
        <v>63.1</v>
      </c>
      <c r="H25" s="741">
        <v>63.7</v>
      </c>
      <c r="I25" s="741">
        <v>64.3</v>
      </c>
      <c r="J25" s="741">
        <v>65</v>
      </c>
    </row>
    <row r="26" spans="1:10" s="386" customFormat="1" ht="33" hidden="1">
      <c r="A26" s="672"/>
      <c r="B26" s="671" t="s">
        <v>596</v>
      </c>
      <c r="C26" s="526" t="s">
        <v>5</v>
      </c>
      <c r="D26" s="740">
        <v>63.6</v>
      </c>
      <c r="E26" s="741">
        <v>70.2</v>
      </c>
      <c r="F26" s="742">
        <v>65</v>
      </c>
      <c r="G26" s="741">
        <v>66.5</v>
      </c>
      <c r="H26" s="741">
        <v>67.5</v>
      </c>
      <c r="I26" s="741">
        <v>69</v>
      </c>
      <c r="J26" s="741">
        <v>70.2</v>
      </c>
    </row>
    <row r="27" spans="1:10" s="386" customFormat="1" ht="21.75" customHeight="1" hidden="1">
      <c r="A27" s="672"/>
      <c r="B27" s="671" t="s">
        <v>597</v>
      </c>
      <c r="C27" s="526" t="s">
        <v>5</v>
      </c>
      <c r="D27" s="740">
        <v>97</v>
      </c>
      <c r="E27" s="673">
        <v>97</v>
      </c>
      <c r="F27" s="673">
        <v>97</v>
      </c>
      <c r="G27" s="673">
        <v>97</v>
      </c>
      <c r="H27" s="673">
        <v>97</v>
      </c>
      <c r="I27" s="673">
        <v>97</v>
      </c>
      <c r="J27" s="673">
        <v>97</v>
      </c>
    </row>
    <row r="28" spans="1:10" s="386" customFormat="1" ht="21.75" customHeight="1">
      <c r="A28" s="674">
        <v>5</v>
      </c>
      <c r="B28" s="675" t="s">
        <v>598</v>
      </c>
      <c r="C28" s="391"/>
      <c r="D28" s="735">
        <f aca="true" t="shared" si="0" ref="D28:J28">D29+D35</f>
        <v>64</v>
      </c>
      <c r="E28" s="735">
        <f t="shared" si="0"/>
        <v>56</v>
      </c>
      <c r="F28" s="735">
        <f t="shared" si="0"/>
        <v>62</v>
      </c>
      <c r="G28" s="735">
        <f t="shared" si="0"/>
        <v>61</v>
      </c>
      <c r="H28" s="735">
        <f t="shared" si="0"/>
        <v>60</v>
      </c>
      <c r="I28" s="735">
        <f t="shared" si="0"/>
        <v>58</v>
      </c>
      <c r="J28" s="735">
        <f t="shared" si="0"/>
        <v>56</v>
      </c>
    </row>
    <row r="29" spans="1:10" s="386" customFormat="1" ht="21.75" customHeight="1">
      <c r="A29" s="674" t="s">
        <v>599</v>
      </c>
      <c r="B29" s="675" t="s">
        <v>600</v>
      </c>
      <c r="C29" s="391"/>
      <c r="D29" s="735">
        <v>24</v>
      </c>
      <c r="E29" s="735">
        <v>21</v>
      </c>
      <c r="F29" s="735">
        <v>24</v>
      </c>
      <c r="G29" s="735">
        <v>23</v>
      </c>
      <c r="H29" s="735">
        <v>23</v>
      </c>
      <c r="I29" s="735">
        <v>22</v>
      </c>
      <c r="J29" s="735">
        <v>21</v>
      </c>
    </row>
    <row r="30" spans="1:10" s="386" customFormat="1" ht="21.75" customHeight="1">
      <c r="A30" s="674"/>
      <c r="B30" s="675" t="s">
        <v>650</v>
      </c>
      <c r="C30" s="391"/>
      <c r="D30" s="390"/>
      <c r="E30" s="743"/>
      <c r="F30" s="739"/>
      <c r="G30" s="743"/>
      <c r="H30" s="743"/>
      <c r="I30" s="743"/>
      <c r="J30" s="743"/>
    </row>
    <row r="31" spans="1:10" s="386" customFormat="1" ht="21.75" customHeight="1">
      <c r="A31" s="676"/>
      <c r="B31" s="677" t="s">
        <v>601</v>
      </c>
      <c r="C31" s="391" t="s">
        <v>602</v>
      </c>
      <c r="D31" s="716">
        <v>18</v>
      </c>
      <c r="E31" s="716">
        <v>19</v>
      </c>
      <c r="F31" s="716">
        <v>19</v>
      </c>
      <c r="G31" s="716">
        <v>19</v>
      </c>
      <c r="H31" s="716">
        <v>19</v>
      </c>
      <c r="I31" s="716">
        <v>20</v>
      </c>
      <c r="J31" s="716">
        <v>19</v>
      </c>
    </row>
    <row r="32" spans="1:10" s="386" customFormat="1" ht="33">
      <c r="A32" s="676"/>
      <c r="B32" s="677" t="s">
        <v>603</v>
      </c>
      <c r="C32" s="526" t="s">
        <v>5</v>
      </c>
      <c r="D32" s="715">
        <f aca="true" t="shared" si="1" ref="D32:J32">D31/D29*100</f>
        <v>75</v>
      </c>
      <c r="E32" s="715">
        <f t="shared" si="1"/>
        <v>90.47619047619048</v>
      </c>
      <c r="F32" s="715">
        <f>F31/F29*100</f>
        <v>79.16666666666666</v>
      </c>
      <c r="G32" s="715">
        <f t="shared" si="1"/>
        <v>82.6086956521739</v>
      </c>
      <c r="H32" s="715">
        <f t="shared" si="1"/>
        <v>82.6086956521739</v>
      </c>
      <c r="I32" s="715">
        <f t="shared" si="1"/>
        <v>90.9090909090909</v>
      </c>
      <c r="J32" s="715">
        <f t="shared" si="1"/>
        <v>90.47619047619048</v>
      </c>
    </row>
    <row r="33" spans="1:10" s="386" customFormat="1" ht="33">
      <c r="A33" s="676"/>
      <c r="B33" s="678" t="s">
        <v>604</v>
      </c>
      <c r="C33" s="391" t="s">
        <v>602</v>
      </c>
      <c r="D33" s="585">
        <v>20</v>
      </c>
      <c r="E33" s="744">
        <v>20</v>
      </c>
      <c r="F33" s="744">
        <v>21</v>
      </c>
      <c r="G33" s="743">
        <v>21</v>
      </c>
      <c r="H33" s="743">
        <v>21</v>
      </c>
      <c r="I33" s="743">
        <v>21</v>
      </c>
      <c r="J33" s="743">
        <v>20</v>
      </c>
    </row>
    <row r="34" spans="1:10" s="386" customFormat="1" ht="33">
      <c r="A34" s="676"/>
      <c r="B34" s="679" t="s">
        <v>605</v>
      </c>
      <c r="C34" s="526" t="s">
        <v>5</v>
      </c>
      <c r="D34" s="715">
        <f aca="true" t="shared" si="2" ref="D34:J34">D33/D29*100</f>
        <v>83.33333333333334</v>
      </c>
      <c r="E34" s="715">
        <f t="shared" si="2"/>
        <v>95.23809523809523</v>
      </c>
      <c r="F34" s="715">
        <f t="shared" si="2"/>
        <v>87.5</v>
      </c>
      <c r="G34" s="715">
        <f t="shared" si="2"/>
        <v>91.30434782608695</v>
      </c>
      <c r="H34" s="715">
        <f t="shared" si="2"/>
        <v>91.30434782608695</v>
      </c>
      <c r="I34" s="715">
        <f t="shared" si="2"/>
        <v>95.45454545454545</v>
      </c>
      <c r="J34" s="715">
        <f t="shared" si="2"/>
        <v>95.23809523809523</v>
      </c>
    </row>
    <row r="35" spans="1:10" s="386" customFormat="1" ht="22.5" customHeight="1">
      <c r="A35" s="674" t="s">
        <v>606</v>
      </c>
      <c r="B35" s="675" t="s">
        <v>607</v>
      </c>
      <c r="C35" s="391"/>
      <c r="D35" s="735">
        <v>40</v>
      </c>
      <c r="E35" s="735">
        <v>35</v>
      </c>
      <c r="F35" s="735">
        <v>38</v>
      </c>
      <c r="G35" s="735">
        <v>38</v>
      </c>
      <c r="H35" s="735">
        <v>37</v>
      </c>
      <c r="I35" s="735">
        <v>36</v>
      </c>
      <c r="J35" s="735">
        <v>35</v>
      </c>
    </row>
    <row r="36" spans="1:10" s="386" customFormat="1" ht="22.5" customHeight="1">
      <c r="A36" s="674"/>
      <c r="B36" s="677" t="s">
        <v>608</v>
      </c>
      <c r="C36" s="391"/>
      <c r="D36" s="390"/>
      <c r="E36" s="745"/>
      <c r="F36" s="745"/>
      <c r="G36" s="745"/>
      <c r="H36" s="745"/>
      <c r="I36" s="745"/>
      <c r="J36" s="745"/>
    </row>
    <row r="37" spans="1:13" s="386" customFormat="1" ht="22.5" customHeight="1">
      <c r="A37" s="680"/>
      <c r="B37" s="677" t="s">
        <v>609</v>
      </c>
      <c r="C37" s="391" t="s">
        <v>602</v>
      </c>
      <c r="D37" s="585">
        <v>34</v>
      </c>
      <c r="E37" s="743">
        <v>33</v>
      </c>
      <c r="F37" s="743">
        <v>33</v>
      </c>
      <c r="G37" s="743">
        <v>34</v>
      </c>
      <c r="H37" s="743">
        <v>34</v>
      </c>
      <c r="I37" s="743">
        <v>33</v>
      </c>
      <c r="J37" s="743">
        <v>33</v>
      </c>
      <c r="M37" s="681"/>
    </row>
    <row r="38" spans="1:10" s="386" customFormat="1" ht="33">
      <c r="A38" s="672"/>
      <c r="B38" s="682" t="s">
        <v>610</v>
      </c>
      <c r="C38" s="526" t="s">
        <v>5</v>
      </c>
      <c r="D38" s="433">
        <f aca="true" t="shared" si="3" ref="D38:J38">D37/D35*100</f>
        <v>85</v>
      </c>
      <c r="E38" s="433">
        <f t="shared" si="3"/>
        <v>94.28571428571428</v>
      </c>
      <c r="F38" s="433">
        <f>F37/F35*100</f>
        <v>86.8421052631579</v>
      </c>
      <c r="G38" s="433">
        <f t="shared" si="3"/>
        <v>89.47368421052632</v>
      </c>
      <c r="H38" s="433">
        <f t="shared" si="3"/>
        <v>91.8918918918919</v>
      </c>
      <c r="I38" s="433">
        <f t="shared" si="3"/>
        <v>91.66666666666666</v>
      </c>
      <c r="J38" s="433">
        <f t="shared" si="3"/>
        <v>94.28571428571428</v>
      </c>
    </row>
    <row r="39" spans="1:10" s="386" customFormat="1" ht="33">
      <c r="A39" s="672"/>
      <c r="B39" s="678" t="s">
        <v>604</v>
      </c>
      <c r="C39" s="391" t="s">
        <v>602</v>
      </c>
      <c r="D39" s="585">
        <v>31</v>
      </c>
      <c r="E39" s="683">
        <v>33</v>
      </c>
      <c r="F39" s="743">
        <v>33</v>
      </c>
      <c r="G39" s="743">
        <v>34</v>
      </c>
      <c r="H39" s="743">
        <v>34</v>
      </c>
      <c r="I39" s="743">
        <v>33</v>
      </c>
      <c r="J39" s="743">
        <v>33</v>
      </c>
    </row>
    <row r="40" spans="1:14" s="386" customFormat="1" ht="33">
      <c r="A40" s="672"/>
      <c r="B40" s="678" t="s">
        <v>686</v>
      </c>
      <c r="C40" s="526" t="s">
        <v>5</v>
      </c>
      <c r="D40" s="715">
        <f aca="true" t="shared" si="4" ref="D40:J40">D39/D35*100</f>
        <v>77.5</v>
      </c>
      <c r="E40" s="715">
        <f t="shared" si="4"/>
        <v>94.28571428571428</v>
      </c>
      <c r="F40" s="715">
        <f t="shared" si="4"/>
        <v>86.8421052631579</v>
      </c>
      <c r="G40" s="715">
        <f t="shared" si="4"/>
        <v>89.47368421052632</v>
      </c>
      <c r="H40" s="715">
        <f t="shared" si="4"/>
        <v>91.8918918918919</v>
      </c>
      <c r="I40" s="715">
        <f t="shared" si="4"/>
        <v>91.66666666666666</v>
      </c>
      <c r="J40" s="715">
        <f t="shared" si="4"/>
        <v>94.28571428571428</v>
      </c>
      <c r="N40" s="681"/>
    </row>
    <row r="41" spans="1:14" s="386" customFormat="1" ht="49.5">
      <c r="A41" s="674">
        <v>6</v>
      </c>
      <c r="B41" s="682" t="s">
        <v>611</v>
      </c>
      <c r="C41" s="526" t="s">
        <v>5</v>
      </c>
      <c r="D41" s="585"/>
      <c r="E41" s="673"/>
      <c r="F41" s="673"/>
      <c r="G41" s="673"/>
      <c r="H41" s="673"/>
      <c r="I41" s="673"/>
      <c r="J41" s="673"/>
      <c r="N41" s="681"/>
    </row>
    <row r="42" spans="1:10" s="684" customFormat="1" ht="23.25" customHeight="1">
      <c r="A42" s="389" t="s">
        <v>102</v>
      </c>
      <c r="B42" s="390" t="s">
        <v>394</v>
      </c>
      <c r="C42" s="387"/>
      <c r="D42" s="601"/>
      <c r="E42" s="601"/>
      <c r="F42" s="601"/>
      <c r="G42" s="601"/>
      <c r="H42" s="601"/>
      <c r="I42" s="601"/>
      <c r="J42" s="601"/>
    </row>
    <row r="43" spans="1:10" s="393" customFormat="1" ht="23.25" customHeight="1">
      <c r="A43" s="389">
        <v>1</v>
      </c>
      <c r="B43" s="390" t="s">
        <v>395</v>
      </c>
      <c r="C43" s="387"/>
      <c r="D43" s="733"/>
      <c r="E43" s="733"/>
      <c r="F43" s="734"/>
      <c r="G43" s="734"/>
      <c r="H43" s="734"/>
      <c r="I43" s="734"/>
      <c r="J43" s="734"/>
    </row>
    <row r="44" spans="1:10" s="393" customFormat="1" ht="36" customHeight="1">
      <c r="A44" s="389"/>
      <c r="B44" s="583" t="s">
        <v>396</v>
      </c>
      <c r="C44" s="391" t="s">
        <v>397</v>
      </c>
      <c r="D44" s="736"/>
      <c r="E44" s="736"/>
      <c r="F44" s="631"/>
      <c r="G44" s="631"/>
      <c r="H44" s="631"/>
      <c r="I44" s="631"/>
      <c r="J44" s="631"/>
    </row>
    <row r="45" spans="1:10" s="393" customFormat="1" ht="24.75" customHeight="1">
      <c r="A45" s="389"/>
      <c r="B45" s="583" t="s">
        <v>612</v>
      </c>
      <c r="C45" s="391" t="s">
        <v>397</v>
      </c>
      <c r="D45" s="736"/>
      <c r="E45" s="736"/>
      <c r="F45" s="631"/>
      <c r="G45" s="631"/>
      <c r="H45" s="631"/>
      <c r="I45" s="631"/>
      <c r="J45" s="631"/>
    </row>
    <row r="46" spans="1:10" s="393" customFormat="1" ht="24.75" customHeight="1">
      <c r="A46" s="389"/>
      <c r="B46" s="583" t="s">
        <v>613</v>
      </c>
      <c r="C46" s="391" t="s">
        <v>397</v>
      </c>
      <c r="D46" s="736"/>
      <c r="E46" s="736"/>
      <c r="F46" s="631"/>
      <c r="G46" s="631"/>
      <c r="H46" s="631"/>
      <c r="I46" s="631"/>
      <c r="J46" s="631"/>
    </row>
    <row r="47" spans="1:10" s="393" customFormat="1" ht="24.75" customHeight="1">
      <c r="A47" s="389"/>
      <c r="B47" s="583" t="s">
        <v>614</v>
      </c>
      <c r="C47" s="391" t="s">
        <v>397</v>
      </c>
      <c r="D47" s="736"/>
      <c r="E47" s="736"/>
      <c r="F47" s="631"/>
      <c r="G47" s="631"/>
      <c r="H47" s="631"/>
      <c r="I47" s="631"/>
      <c r="J47" s="631"/>
    </row>
    <row r="48" spans="1:10" s="393" customFormat="1" ht="34.5" customHeight="1">
      <c r="A48" s="389"/>
      <c r="B48" s="607" t="s">
        <v>398</v>
      </c>
      <c r="C48" s="424" t="s">
        <v>399</v>
      </c>
      <c r="D48" s="746"/>
      <c r="E48" s="746"/>
      <c r="F48" s="747"/>
      <c r="G48" s="747"/>
      <c r="H48" s="747"/>
      <c r="I48" s="747"/>
      <c r="J48" s="747"/>
    </row>
    <row r="49" spans="1:10" s="393" customFormat="1" ht="24.75" customHeight="1">
      <c r="A49" s="389"/>
      <c r="B49" s="583" t="s">
        <v>612</v>
      </c>
      <c r="C49" s="424" t="s">
        <v>399</v>
      </c>
      <c r="D49" s="736"/>
      <c r="E49" s="736"/>
      <c r="F49" s="631"/>
      <c r="G49" s="631"/>
      <c r="H49" s="631"/>
      <c r="I49" s="631"/>
      <c r="J49" s="631"/>
    </row>
    <row r="50" spans="1:10" s="393" customFormat="1" ht="24.75" customHeight="1">
      <c r="A50" s="389"/>
      <c r="B50" s="583" t="s">
        <v>613</v>
      </c>
      <c r="C50" s="424" t="s">
        <v>399</v>
      </c>
      <c r="D50" s="736"/>
      <c r="E50" s="736"/>
      <c r="F50" s="631"/>
      <c r="G50" s="631"/>
      <c r="H50" s="631"/>
      <c r="I50" s="631"/>
      <c r="J50" s="631"/>
    </row>
    <row r="51" spans="1:10" s="393" customFormat="1" ht="24.75" customHeight="1">
      <c r="A51" s="389"/>
      <c r="B51" s="583" t="s">
        <v>614</v>
      </c>
      <c r="C51" s="424" t="s">
        <v>399</v>
      </c>
      <c r="D51" s="736"/>
      <c r="E51" s="736"/>
      <c r="F51" s="631"/>
      <c r="G51" s="631"/>
      <c r="H51" s="631"/>
      <c r="I51" s="631"/>
      <c r="J51" s="631"/>
    </row>
    <row r="52" spans="1:10" s="393" customFormat="1" ht="25.5" customHeight="1">
      <c r="A52" s="389">
        <v>2</v>
      </c>
      <c r="B52" s="390" t="s">
        <v>400</v>
      </c>
      <c r="C52" s="387"/>
      <c r="D52" s="733"/>
      <c r="E52" s="733"/>
      <c r="F52" s="748"/>
      <c r="G52" s="748"/>
      <c r="H52" s="748"/>
      <c r="I52" s="749"/>
      <c r="J52" s="749"/>
    </row>
    <row r="53" spans="1:10" ht="24.75" customHeight="1">
      <c r="A53" s="395"/>
      <c r="B53" s="425" t="s">
        <v>401</v>
      </c>
      <c r="C53" s="391" t="s">
        <v>397</v>
      </c>
      <c r="D53" s="750"/>
      <c r="E53" s="750"/>
      <c r="F53" s="751"/>
      <c r="G53" s="751"/>
      <c r="H53" s="751"/>
      <c r="I53" s="751"/>
      <c r="J53" s="751"/>
    </row>
    <row r="54" spans="1:10" s="393" customFormat="1" ht="24.75" customHeight="1">
      <c r="A54" s="389"/>
      <c r="B54" s="583" t="s">
        <v>612</v>
      </c>
      <c r="C54" s="391" t="s">
        <v>397</v>
      </c>
      <c r="D54" s="736"/>
      <c r="E54" s="736"/>
      <c r="F54" s="631"/>
      <c r="G54" s="631"/>
      <c r="H54" s="631"/>
      <c r="I54" s="631"/>
      <c r="J54" s="631"/>
    </row>
    <row r="55" spans="1:10" s="393" customFormat="1" ht="24.75" customHeight="1">
      <c r="A55" s="389"/>
      <c r="B55" s="583" t="s">
        <v>613</v>
      </c>
      <c r="C55" s="391" t="s">
        <v>397</v>
      </c>
      <c r="D55" s="736"/>
      <c r="E55" s="736"/>
      <c r="F55" s="631"/>
      <c r="G55" s="631"/>
      <c r="H55" s="631"/>
      <c r="I55" s="631"/>
      <c r="J55" s="631"/>
    </row>
    <row r="56" spans="1:10" s="393" customFormat="1" ht="24.75" customHeight="1">
      <c r="A56" s="389"/>
      <c r="B56" s="583" t="s">
        <v>614</v>
      </c>
      <c r="C56" s="391" t="s">
        <v>397</v>
      </c>
      <c r="D56" s="736"/>
      <c r="E56" s="736"/>
      <c r="F56" s="631"/>
      <c r="G56" s="631"/>
      <c r="H56" s="631"/>
      <c r="I56" s="631"/>
      <c r="J56" s="631"/>
    </row>
    <row r="57" spans="1:10" s="524" customFormat="1" ht="35.25" customHeight="1">
      <c r="A57" s="610"/>
      <c r="B57" s="607" t="s">
        <v>73</v>
      </c>
      <c r="C57" s="424" t="s">
        <v>303</v>
      </c>
      <c r="D57" s="746"/>
      <c r="E57" s="746"/>
      <c r="F57" s="752"/>
      <c r="G57" s="752"/>
      <c r="H57" s="752"/>
      <c r="I57" s="752"/>
      <c r="J57" s="752"/>
    </row>
    <row r="58" spans="1:10" s="393" customFormat="1" ht="24.75" customHeight="1">
      <c r="A58" s="389"/>
      <c r="B58" s="583" t="s">
        <v>612</v>
      </c>
      <c r="C58" s="424" t="s">
        <v>303</v>
      </c>
      <c r="D58" s="736"/>
      <c r="E58" s="736"/>
      <c r="F58" s="631"/>
      <c r="G58" s="631"/>
      <c r="H58" s="631"/>
      <c r="I58" s="631"/>
      <c r="J58" s="631"/>
    </row>
    <row r="59" spans="1:10" s="393" customFormat="1" ht="24.75" customHeight="1">
      <c r="A59" s="389"/>
      <c r="B59" s="583" t="s">
        <v>613</v>
      </c>
      <c r="C59" s="424" t="s">
        <v>303</v>
      </c>
      <c r="D59" s="736"/>
      <c r="E59" s="736"/>
      <c r="F59" s="631"/>
      <c r="G59" s="631"/>
      <c r="H59" s="631"/>
      <c r="I59" s="631"/>
      <c r="J59" s="631"/>
    </row>
    <row r="60" spans="1:10" s="393" customFormat="1" ht="24.75" customHeight="1">
      <c r="A60" s="389"/>
      <c r="B60" s="583" t="s">
        <v>614</v>
      </c>
      <c r="C60" s="424" t="s">
        <v>303</v>
      </c>
      <c r="D60" s="736"/>
      <c r="E60" s="736"/>
      <c r="F60" s="631"/>
      <c r="G60" s="631"/>
      <c r="H60" s="631"/>
      <c r="I60" s="631"/>
      <c r="J60" s="631"/>
    </row>
    <row r="61" spans="1:10" ht="36.75" customHeight="1">
      <c r="A61" s="395"/>
      <c r="B61" s="425" t="s">
        <v>402</v>
      </c>
      <c r="C61" s="424" t="str">
        <f>C44</f>
        <v> Người </v>
      </c>
      <c r="D61" s="614"/>
      <c r="E61" s="750"/>
      <c r="F61" s="585"/>
      <c r="G61" s="585"/>
      <c r="H61" s="750"/>
      <c r="I61" s="750"/>
      <c r="J61" s="750"/>
    </row>
    <row r="62" spans="1:10" s="393" customFormat="1" ht="24.75" customHeight="1">
      <c r="A62" s="389"/>
      <c r="B62" s="583" t="s">
        <v>612</v>
      </c>
      <c r="C62" s="391" t="s">
        <v>397</v>
      </c>
      <c r="D62" s="736"/>
      <c r="E62" s="736"/>
      <c r="F62" s="631"/>
      <c r="G62" s="631"/>
      <c r="H62" s="631"/>
      <c r="I62" s="631"/>
      <c r="J62" s="631"/>
    </row>
    <row r="63" spans="1:10" s="393" customFormat="1" ht="24.75" customHeight="1">
      <c r="A63" s="389"/>
      <c r="B63" s="583" t="s">
        <v>613</v>
      </c>
      <c r="C63" s="391" t="s">
        <v>397</v>
      </c>
      <c r="D63" s="736"/>
      <c r="E63" s="736"/>
      <c r="F63" s="631"/>
      <c r="G63" s="631"/>
      <c r="H63" s="631"/>
      <c r="I63" s="631"/>
      <c r="J63" s="631"/>
    </row>
    <row r="64" spans="1:10" s="393" customFormat="1" ht="24.75" customHeight="1">
      <c r="A64" s="389"/>
      <c r="B64" s="583" t="s">
        <v>614</v>
      </c>
      <c r="C64" s="391" t="s">
        <v>397</v>
      </c>
      <c r="D64" s="736"/>
      <c r="E64" s="736"/>
      <c r="F64" s="631"/>
      <c r="G64" s="631"/>
      <c r="H64" s="631"/>
      <c r="I64" s="631"/>
      <c r="J64" s="631"/>
    </row>
    <row r="65" spans="1:10" s="524" customFormat="1" ht="36" customHeight="1">
      <c r="A65" s="610"/>
      <c r="B65" s="607" t="s">
        <v>403</v>
      </c>
      <c r="C65" s="424" t="s">
        <v>303</v>
      </c>
      <c r="D65" s="746"/>
      <c r="E65" s="746"/>
      <c r="F65" s="753"/>
      <c r="G65" s="753"/>
      <c r="H65" s="753"/>
      <c r="I65" s="753"/>
      <c r="J65" s="753"/>
    </row>
    <row r="66" spans="1:10" s="393" customFormat="1" ht="24.75" customHeight="1">
      <c r="A66" s="389"/>
      <c r="B66" s="583" t="s">
        <v>612</v>
      </c>
      <c r="C66" s="424" t="s">
        <v>303</v>
      </c>
      <c r="D66" s="736"/>
      <c r="E66" s="736"/>
      <c r="F66" s="631"/>
      <c r="G66" s="631"/>
      <c r="H66" s="631"/>
      <c r="I66" s="631"/>
      <c r="J66" s="631"/>
    </row>
    <row r="67" spans="1:10" s="393" customFormat="1" ht="24.75" customHeight="1">
      <c r="A67" s="389"/>
      <c r="B67" s="583" t="s">
        <v>613</v>
      </c>
      <c r="C67" s="424" t="s">
        <v>303</v>
      </c>
      <c r="D67" s="736"/>
      <c r="E67" s="736"/>
      <c r="F67" s="631"/>
      <c r="G67" s="631"/>
      <c r="H67" s="631"/>
      <c r="I67" s="631"/>
      <c r="J67" s="631"/>
    </row>
    <row r="68" spans="1:10" s="393" customFormat="1" ht="24.75" customHeight="1">
      <c r="A68" s="389"/>
      <c r="B68" s="583" t="s">
        <v>614</v>
      </c>
      <c r="C68" s="424" t="s">
        <v>303</v>
      </c>
      <c r="D68" s="736"/>
      <c r="E68" s="736"/>
      <c r="F68" s="631"/>
      <c r="G68" s="631"/>
      <c r="H68" s="631"/>
      <c r="I68" s="631"/>
      <c r="J68" s="631"/>
    </row>
    <row r="69" spans="1:10" s="393" customFormat="1" ht="24.75" customHeight="1">
      <c r="A69" s="389"/>
      <c r="B69" s="583" t="s">
        <v>615</v>
      </c>
      <c r="C69" s="391" t="s">
        <v>616</v>
      </c>
      <c r="D69" s="754">
        <v>4146</v>
      </c>
      <c r="E69" s="754">
        <v>5000</v>
      </c>
      <c r="F69" s="754">
        <v>1000</v>
      </c>
      <c r="G69" s="754">
        <v>1000</v>
      </c>
      <c r="H69" s="754">
        <v>1000</v>
      </c>
      <c r="I69" s="754">
        <v>1000</v>
      </c>
      <c r="J69" s="754">
        <v>1000</v>
      </c>
    </row>
    <row r="70" spans="1:11" ht="35.25" customHeight="1">
      <c r="A70" s="395"/>
      <c r="B70" s="585" t="s">
        <v>617</v>
      </c>
      <c r="C70" s="424" t="s">
        <v>303</v>
      </c>
      <c r="D70" s="750"/>
      <c r="E70" s="755"/>
      <c r="F70" s="756"/>
      <c r="G70" s="756"/>
      <c r="H70" s="756"/>
      <c r="I70" s="756"/>
      <c r="J70" s="756"/>
      <c r="K70" s="393"/>
    </row>
    <row r="71" spans="1:11" ht="22.5" customHeight="1">
      <c r="A71" s="389" t="s">
        <v>115</v>
      </c>
      <c r="B71" s="390" t="s">
        <v>618</v>
      </c>
      <c r="C71" s="387"/>
      <c r="D71" s="585"/>
      <c r="E71" s="585"/>
      <c r="F71" s="585"/>
      <c r="G71" s="392"/>
      <c r="H71" s="392"/>
      <c r="I71" s="392"/>
      <c r="J71" s="392"/>
      <c r="K71" s="393"/>
    </row>
    <row r="72" spans="1:13" s="524" customFormat="1" ht="24.75" customHeight="1">
      <c r="A72" s="395">
        <v>1</v>
      </c>
      <c r="B72" s="585" t="s">
        <v>582</v>
      </c>
      <c r="C72" s="391"/>
      <c r="D72" s="585"/>
      <c r="E72" s="585"/>
      <c r="F72" s="585"/>
      <c r="G72" s="392"/>
      <c r="H72" s="392"/>
      <c r="I72" s="392"/>
      <c r="J72" s="392"/>
      <c r="K72" s="381"/>
      <c r="L72" s="381"/>
      <c r="M72" s="381"/>
    </row>
    <row r="73" spans="1:10" ht="24.75" customHeight="1">
      <c r="A73" s="395">
        <v>2</v>
      </c>
      <c r="B73" s="585" t="s">
        <v>619</v>
      </c>
      <c r="C73" s="391"/>
      <c r="D73" s="585"/>
      <c r="E73" s="585"/>
      <c r="F73" s="585"/>
      <c r="G73" s="392"/>
      <c r="H73" s="392"/>
      <c r="I73" s="392"/>
      <c r="J73" s="392"/>
    </row>
    <row r="74" spans="1:10" ht="16.5">
      <c r="A74" s="398"/>
      <c r="B74" s="399"/>
      <c r="C74" s="385"/>
      <c r="D74" s="385"/>
      <c r="E74" s="385"/>
      <c r="F74" s="386"/>
      <c r="G74" s="386"/>
      <c r="H74" s="386"/>
      <c r="I74" s="386"/>
      <c r="J74" s="386"/>
    </row>
    <row r="75" spans="1:13" ht="33" customHeight="1">
      <c r="A75" s="525"/>
      <c r="B75" s="1053" t="s">
        <v>620</v>
      </c>
      <c r="C75" s="1053"/>
      <c r="D75" s="1053"/>
      <c r="E75" s="1053"/>
      <c r="F75" s="1053"/>
      <c r="G75" s="1053"/>
      <c r="H75" s="1053"/>
      <c r="I75" s="1053"/>
      <c r="J75" s="1053"/>
      <c r="K75" s="524"/>
      <c r="L75" s="524"/>
      <c r="M75" s="524"/>
    </row>
    <row r="76" spans="1:10" ht="16.5">
      <c r="A76" s="398"/>
      <c r="B76" s="399"/>
      <c r="C76" s="385"/>
      <c r="D76" s="385"/>
      <c r="E76" s="385"/>
      <c r="F76" s="386"/>
      <c r="G76" s="386"/>
      <c r="H76" s="386"/>
      <c r="I76" s="386"/>
      <c r="J76" s="386"/>
    </row>
    <row r="77" spans="1:10" ht="16.5">
      <c r="A77" s="398"/>
      <c r="B77" s="399"/>
      <c r="C77" s="385"/>
      <c r="D77" s="385"/>
      <c r="E77" s="385"/>
      <c r="F77" s="386"/>
      <c r="G77" s="386"/>
      <c r="H77" s="386"/>
      <c r="I77" s="386"/>
      <c r="J77" s="386"/>
    </row>
    <row r="78" spans="1:10" ht="16.5">
      <c r="A78" s="398"/>
      <c r="B78" s="399"/>
      <c r="C78" s="385"/>
      <c r="D78" s="385"/>
      <c r="E78" s="385"/>
      <c r="F78" s="386"/>
      <c r="G78" s="386"/>
      <c r="H78" s="386"/>
      <c r="I78" s="386"/>
      <c r="J78" s="386"/>
    </row>
    <row r="79" spans="1:10" ht="16.5">
      <c r="A79" s="398"/>
      <c r="B79" s="399"/>
      <c r="C79" s="385"/>
      <c r="D79" s="385"/>
      <c r="E79" s="385"/>
      <c r="F79" s="386"/>
      <c r="G79" s="386"/>
      <c r="H79" s="386"/>
      <c r="I79" s="386"/>
      <c r="J79" s="386"/>
    </row>
    <row r="80" spans="1:10" ht="16.5">
      <c r="A80" s="398"/>
      <c r="B80" s="399"/>
      <c r="C80" s="385"/>
      <c r="D80" s="385"/>
      <c r="E80" s="385"/>
      <c r="F80" s="386"/>
      <c r="G80" s="386"/>
      <c r="H80" s="386"/>
      <c r="I80" s="386"/>
      <c r="J80" s="386"/>
    </row>
    <row r="81" spans="1:10" ht="16.5">
      <c r="A81" s="398"/>
      <c r="B81" s="399"/>
      <c r="C81" s="385"/>
      <c r="D81" s="385"/>
      <c r="E81" s="385"/>
      <c r="F81" s="386"/>
      <c r="G81" s="386"/>
      <c r="H81" s="386"/>
      <c r="I81" s="386"/>
      <c r="J81" s="386"/>
    </row>
    <row r="82" spans="1:10" ht="16.5">
      <c r="A82" s="398"/>
      <c r="B82" s="399"/>
      <c r="C82" s="385"/>
      <c r="D82" s="385"/>
      <c r="E82" s="385"/>
      <c r="F82" s="386"/>
      <c r="G82" s="386"/>
      <c r="H82" s="386"/>
      <c r="I82" s="386"/>
      <c r="J82" s="386"/>
    </row>
    <row r="83" spans="1:10" ht="16.5">
      <c r="A83" s="398"/>
      <c r="B83" s="399"/>
      <c r="C83" s="385"/>
      <c r="D83" s="385"/>
      <c r="E83" s="385"/>
      <c r="F83" s="386"/>
      <c r="G83" s="386"/>
      <c r="H83" s="386"/>
      <c r="I83" s="386"/>
      <c r="J83" s="386"/>
    </row>
    <row r="84" spans="1:10" ht="16.5">
      <c r="A84" s="398"/>
      <c r="B84" s="399"/>
      <c r="C84" s="385"/>
      <c r="D84" s="385"/>
      <c r="E84" s="385"/>
      <c r="F84" s="386"/>
      <c r="G84" s="386"/>
      <c r="H84" s="386"/>
      <c r="I84" s="386"/>
      <c r="J84" s="386"/>
    </row>
    <row r="85" spans="1:10" ht="16.5">
      <c r="A85" s="398"/>
      <c r="B85" s="399"/>
      <c r="C85" s="385"/>
      <c r="D85" s="385"/>
      <c r="E85" s="385"/>
      <c r="F85" s="386"/>
      <c r="G85" s="386"/>
      <c r="H85" s="386"/>
      <c r="I85" s="386"/>
      <c r="J85" s="386"/>
    </row>
    <row r="86" spans="1:10" ht="16.5">
      <c r="A86" s="398"/>
      <c r="B86" s="399"/>
      <c r="C86" s="385"/>
      <c r="D86" s="385"/>
      <c r="E86" s="385"/>
      <c r="F86" s="386"/>
      <c r="G86" s="386"/>
      <c r="H86" s="386"/>
      <c r="I86" s="386"/>
      <c r="J86" s="386"/>
    </row>
    <row r="87" spans="1:10" ht="16.5">
      <c r="A87" s="398"/>
      <c r="B87" s="399"/>
      <c r="C87" s="385"/>
      <c r="D87" s="385"/>
      <c r="E87" s="385"/>
      <c r="F87" s="386"/>
      <c r="G87" s="386"/>
      <c r="H87" s="386"/>
      <c r="I87" s="386"/>
      <c r="J87" s="386"/>
    </row>
    <row r="88" spans="1:10" ht="16.5">
      <c r="A88" s="398"/>
      <c r="B88" s="399"/>
      <c r="C88" s="385"/>
      <c r="D88" s="385"/>
      <c r="E88" s="385"/>
      <c r="F88" s="386"/>
      <c r="G88" s="386"/>
      <c r="H88" s="386"/>
      <c r="I88" s="386"/>
      <c r="J88" s="386"/>
    </row>
    <row r="89" spans="1:10" ht="16.5">
      <c r="A89" s="398"/>
      <c r="B89" s="399"/>
      <c r="C89" s="385"/>
      <c r="D89" s="385"/>
      <c r="E89" s="385"/>
      <c r="F89" s="386"/>
      <c r="G89" s="386"/>
      <c r="H89" s="386"/>
      <c r="I89" s="386"/>
      <c r="J89" s="386"/>
    </row>
    <row r="90" spans="1:10" ht="16.5">
      <c r="A90" s="398"/>
      <c r="B90" s="399"/>
      <c r="C90" s="385"/>
      <c r="D90" s="385"/>
      <c r="E90" s="385"/>
      <c r="F90" s="386"/>
      <c r="G90" s="386"/>
      <c r="H90" s="386"/>
      <c r="I90" s="386"/>
      <c r="J90" s="386"/>
    </row>
    <row r="91" spans="1:10" ht="16.5">
      <c r="A91" s="398"/>
      <c r="B91" s="399"/>
      <c r="C91" s="385"/>
      <c r="D91" s="385"/>
      <c r="E91" s="385"/>
      <c r="F91" s="386"/>
      <c r="G91" s="386"/>
      <c r="H91" s="386"/>
      <c r="I91" s="386"/>
      <c r="J91" s="386"/>
    </row>
    <row r="92" spans="1:10" ht="16.5">
      <c r="A92" s="398"/>
      <c r="B92" s="399"/>
      <c r="C92" s="385"/>
      <c r="D92" s="385"/>
      <c r="E92" s="385"/>
      <c r="F92" s="386"/>
      <c r="G92" s="386"/>
      <c r="H92" s="386"/>
      <c r="I92" s="386"/>
      <c r="J92" s="386"/>
    </row>
    <row r="93" spans="1:10" ht="16.5">
      <c r="A93" s="398"/>
      <c r="B93" s="399"/>
      <c r="C93" s="385"/>
      <c r="D93" s="385"/>
      <c r="E93" s="385"/>
      <c r="F93" s="386"/>
      <c r="G93" s="386"/>
      <c r="H93" s="386"/>
      <c r="I93" s="386"/>
      <c r="J93" s="386"/>
    </row>
    <row r="94" spans="1:10" ht="16.5">
      <c r="A94" s="398"/>
      <c r="B94" s="399"/>
      <c r="C94" s="385"/>
      <c r="D94" s="385"/>
      <c r="E94" s="385"/>
      <c r="F94" s="386"/>
      <c r="G94" s="386"/>
      <c r="H94" s="386"/>
      <c r="I94" s="386"/>
      <c r="J94" s="386"/>
    </row>
    <row r="95" spans="1:10" ht="16.5">
      <c r="A95" s="398"/>
      <c r="B95" s="399"/>
      <c r="C95" s="385"/>
      <c r="D95" s="385"/>
      <c r="E95" s="385"/>
      <c r="F95" s="386"/>
      <c r="G95" s="386"/>
      <c r="H95" s="386"/>
      <c r="I95" s="386"/>
      <c r="J95" s="386"/>
    </row>
    <row r="96" spans="1:10" ht="16.5">
      <c r="A96" s="398"/>
      <c r="B96" s="399"/>
      <c r="C96" s="385"/>
      <c r="D96" s="385"/>
      <c r="E96" s="385"/>
      <c r="F96" s="386"/>
      <c r="G96" s="386"/>
      <c r="H96" s="386"/>
      <c r="I96" s="386"/>
      <c r="J96" s="386"/>
    </row>
    <row r="97" spans="1:10" ht="16.5">
      <c r="A97" s="398"/>
      <c r="B97" s="399"/>
      <c r="C97" s="385"/>
      <c r="D97" s="385"/>
      <c r="E97" s="385"/>
      <c r="F97" s="386"/>
      <c r="G97" s="386"/>
      <c r="H97" s="386"/>
      <c r="I97" s="386"/>
      <c r="J97" s="386"/>
    </row>
    <row r="98" spans="1:10" ht="16.5">
      <c r="A98" s="398"/>
      <c r="B98" s="399"/>
      <c r="C98" s="385"/>
      <c r="D98" s="385"/>
      <c r="E98" s="385"/>
      <c r="F98" s="386"/>
      <c r="G98" s="386"/>
      <c r="H98" s="386"/>
      <c r="I98" s="386"/>
      <c r="J98" s="386"/>
    </row>
    <row r="99" spans="1:10" ht="16.5">
      <c r="A99" s="398"/>
      <c r="B99" s="399"/>
      <c r="C99" s="385"/>
      <c r="D99" s="385"/>
      <c r="E99" s="385"/>
      <c r="F99" s="386"/>
      <c r="G99" s="386"/>
      <c r="H99" s="386"/>
      <c r="I99" s="386"/>
      <c r="J99" s="386"/>
    </row>
    <row r="100" spans="1:10" ht="16.5">
      <c r="A100" s="398"/>
      <c r="B100" s="399"/>
      <c r="C100" s="385"/>
      <c r="D100" s="385"/>
      <c r="E100" s="385"/>
      <c r="F100" s="386"/>
      <c r="G100" s="386"/>
      <c r="H100" s="386"/>
      <c r="I100" s="386"/>
      <c r="J100" s="386"/>
    </row>
    <row r="101" spans="1:10" ht="16.5">
      <c r="A101" s="398"/>
      <c r="B101" s="399"/>
      <c r="C101" s="385"/>
      <c r="D101" s="385"/>
      <c r="E101" s="385"/>
      <c r="F101" s="386"/>
      <c r="G101" s="386"/>
      <c r="H101" s="386"/>
      <c r="I101" s="386"/>
      <c r="J101" s="386"/>
    </row>
    <row r="102" spans="1:10" ht="16.5">
      <c r="A102" s="398"/>
      <c r="B102" s="399"/>
      <c r="C102" s="385"/>
      <c r="D102" s="385"/>
      <c r="E102" s="385"/>
      <c r="F102" s="386"/>
      <c r="G102" s="386"/>
      <c r="H102" s="386"/>
      <c r="I102" s="386"/>
      <c r="J102" s="386"/>
    </row>
    <row r="103" spans="1:10" ht="16.5">
      <c r="A103" s="398"/>
      <c r="B103" s="399"/>
      <c r="C103" s="385"/>
      <c r="D103" s="385"/>
      <c r="E103" s="385"/>
      <c r="F103" s="386"/>
      <c r="G103" s="386"/>
      <c r="H103" s="386"/>
      <c r="I103" s="386"/>
      <c r="J103" s="386"/>
    </row>
    <row r="104" spans="1:10" ht="16.5">
      <c r="A104" s="398"/>
      <c r="B104" s="399"/>
      <c r="C104" s="385"/>
      <c r="D104" s="385"/>
      <c r="E104" s="385"/>
      <c r="F104" s="386"/>
      <c r="G104" s="386"/>
      <c r="H104" s="386"/>
      <c r="I104" s="386"/>
      <c r="J104" s="386"/>
    </row>
    <row r="105" spans="1:10" ht="16.5">
      <c r="A105" s="398"/>
      <c r="B105" s="399"/>
      <c r="C105" s="385"/>
      <c r="D105" s="385"/>
      <c r="E105" s="385"/>
      <c r="F105" s="386"/>
      <c r="G105" s="386"/>
      <c r="H105" s="386"/>
      <c r="I105" s="386"/>
      <c r="J105" s="386"/>
    </row>
    <row r="106" spans="1:10" ht="16.5">
      <c r="A106" s="398"/>
      <c r="B106" s="399"/>
      <c r="C106" s="385"/>
      <c r="D106" s="385"/>
      <c r="E106" s="385"/>
      <c r="F106" s="386"/>
      <c r="G106" s="386"/>
      <c r="H106" s="386"/>
      <c r="I106" s="386"/>
      <c r="J106" s="386"/>
    </row>
    <row r="107" spans="1:10" ht="16.5">
      <c r="A107" s="398"/>
      <c r="B107" s="399"/>
      <c r="C107" s="385"/>
      <c r="D107" s="385"/>
      <c r="E107" s="385"/>
      <c r="F107" s="386"/>
      <c r="G107" s="386"/>
      <c r="H107" s="386"/>
      <c r="I107" s="386"/>
      <c r="J107" s="386"/>
    </row>
    <row r="108" spans="1:10" ht="16.5">
      <c r="A108" s="398"/>
      <c r="B108" s="399"/>
      <c r="C108" s="385"/>
      <c r="D108" s="385"/>
      <c r="E108" s="385"/>
      <c r="F108" s="386"/>
      <c r="G108" s="386"/>
      <c r="H108" s="386"/>
      <c r="I108" s="386"/>
      <c r="J108" s="386"/>
    </row>
    <row r="109" spans="1:10" ht="16.5">
      <c r="A109" s="398"/>
      <c r="B109" s="399"/>
      <c r="C109" s="385"/>
      <c r="D109" s="385"/>
      <c r="E109" s="385"/>
      <c r="F109" s="386"/>
      <c r="G109" s="386"/>
      <c r="H109" s="386"/>
      <c r="I109" s="386"/>
      <c r="J109" s="386"/>
    </row>
    <row r="110" spans="1:10" ht="16.5">
      <c r="A110" s="398"/>
      <c r="B110" s="399"/>
      <c r="C110" s="385"/>
      <c r="D110" s="385"/>
      <c r="E110" s="385"/>
      <c r="F110" s="386"/>
      <c r="G110" s="386"/>
      <c r="H110" s="386"/>
      <c r="I110" s="386"/>
      <c r="J110" s="386"/>
    </row>
    <row r="111" spans="1:10" ht="16.5">
      <c r="A111" s="398"/>
      <c r="B111" s="399"/>
      <c r="C111" s="385"/>
      <c r="D111" s="385"/>
      <c r="E111" s="385"/>
      <c r="F111" s="386"/>
      <c r="G111" s="386"/>
      <c r="H111" s="386"/>
      <c r="I111" s="386"/>
      <c r="J111" s="386"/>
    </row>
    <row r="112" spans="1:10" ht="16.5">
      <c r="A112" s="398"/>
      <c r="B112" s="399"/>
      <c r="C112" s="385"/>
      <c r="D112" s="385"/>
      <c r="E112" s="385"/>
      <c r="F112" s="386"/>
      <c r="G112" s="386"/>
      <c r="H112" s="386"/>
      <c r="I112" s="386"/>
      <c r="J112" s="386"/>
    </row>
    <row r="113" spans="1:10" ht="16.5">
      <c r="A113" s="398"/>
      <c r="B113" s="399"/>
      <c r="C113" s="385"/>
      <c r="D113" s="385"/>
      <c r="E113" s="385"/>
      <c r="F113" s="386"/>
      <c r="G113" s="386"/>
      <c r="H113" s="386"/>
      <c r="I113" s="386"/>
      <c r="J113" s="386"/>
    </row>
    <row r="114" spans="1:10" ht="16.5">
      <c r="A114" s="398"/>
      <c r="B114" s="399"/>
      <c r="C114" s="385"/>
      <c r="D114" s="385"/>
      <c r="E114" s="385"/>
      <c r="F114" s="386"/>
      <c r="G114" s="386"/>
      <c r="H114" s="386"/>
      <c r="I114" s="386"/>
      <c r="J114" s="386"/>
    </row>
    <row r="115" spans="1:10" ht="16.5">
      <c r="A115" s="398"/>
      <c r="B115" s="399"/>
      <c r="C115" s="385"/>
      <c r="D115" s="385"/>
      <c r="E115" s="385"/>
      <c r="F115" s="386"/>
      <c r="G115" s="386"/>
      <c r="H115" s="386"/>
      <c r="I115" s="386"/>
      <c r="J115" s="386"/>
    </row>
    <row r="116" spans="1:10" ht="16.5">
      <c r="A116" s="398"/>
      <c r="B116" s="399"/>
      <c r="C116" s="385"/>
      <c r="D116" s="385"/>
      <c r="E116" s="385"/>
      <c r="F116" s="386"/>
      <c r="G116" s="386"/>
      <c r="H116" s="386"/>
      <c r="I116" s="386"/>
      <c r="J116" s="386"/>
    </row>
    <row r="117" spans="1:10" ht="16.5">
      <c r="A117" s="398"/>
      <c r="B117" s="399"/>
      <c r="C117" s="385"/>
      <c r="D117" s="385"/>
      <c r="E117" s="385"/>
      <c r="F117" s="386"/>
      <c r="G117" s="386"/>
      <c r="H117" s="386"/>
      <c r="I117" s="386"/>
      <c r="J117" s="386"/>
    </row>
    <row r="118" spans="1:10" ht="16.5">
      <c r="A118" s="398"/>
      <c r="B118" s="399"/>
      <c r="C118" s="385"/>
      <c r="D118" s="385"/>
      <c r="E118" s="385"/>
      <c r="F118" s="386"/>
      <c r="G118" s="386"/>
      <c r="H118" s="386"/>
      <c r="I118" s="386"/>
      <c r="J118" s="386"/>
    </row>
    <row r="119" spans="1:10" ht="16.5">
      <c r="A119" s="398"/>
      <c r="B119" s="399"/>
      <c r="C119" s="385"/>
      <c r="D119" s="385"/>
      <c r="E119" s="385"/>
      <c r="F119" s="386"/>
      <c r="G119" s="386"/>
      <c r="H119" s="386"/>
      <c r="I119" s="386"/>
      <c r="J119" s="386"/>
    </row>
    <row r="120" spans="1:10" ht="16.5">
      <c r="A120" s="398"/>
      <c r="B120" s="399"/>
      <c r="C120" s="385"/>
      <c r="D120" s="385"/>
      <c r="E120" s="385"/>
      <c r="F120" s="386"/>
      <c r="G120" s="386"/>
      <c r="H120" s="386"/>
      <c r="I120" s="386"/>
      <c r="J120" s="386"/>
    </row>
    <row r="121" spans="1:10" ht="16.5">
      <c r="A121" s="398"/>
      <c r="B121" s="399"/>
      <c r="C121" s="385"/>
      <c r="D121" s="385"/>
      <c r="E121" s="385"/>
      <c r="F121" s="386"/>
      <c r="G121" s="386"/>
      <c r="H121" s="386"/>
      <c r="I121" s="386"/>
      <c r="J121" s="386"/>
    </row>
    <row r="122" spans="1:10" ht="16.5">
      <c r="A122" s="398"/>
      <c r="B122" s="399"/>
      <c r="C122" s="385"/>
      <c r="D122" s="385"/>
      <c r="E122" s="385"/>
      <c r="F122" s="386"/>
      <c r="G122" s="386"/>
      <c r="H122" s="386"/>
      <c r="I122" s="386"/>
      <c r="J122" s="386"/>
    </row>
    <row r="123" spans="1:10" ht="16.5">
      <c r="A123" s="398"/>
      <c r="B123" s="399"/>
      <c r="C123" s="385"/>
      <c r="D123" s="385"/>
      <c r="E123" s="385"/>
      <c r="F123" s="386"/>
      <c r="G123" s="386"/>
      <c r="H123" s="386"/>
      <c r="I123" s="386"/>
      <c r="J123" s="386"/>
    </row>
    <row r="124" spans="1:10" ht="16.5">
      <c r="A124" s="398"/>
      <c r="B124" s="399"/>
      <c r="C124" s="385"/>
      <c r="D124" s="385"/>
      <c r="E124" s="385"/>
      <c r="F124" s="386"/>
      <c r="G124" s="386"/>
      <c r="H124" s="386"/>
      <c r="I124" s="386"/>
      <c r="J124" s="386"/>
    </row>
    <row r="125" spans="1:10" ht="16.5">
      <c r="A125" s="398"/>
      <c r="B125" s="399"/>
      <c r="C125" s="385"/>
      <c r="D125" s="385"/>
      <c r="E125" s="385"/>
      <c r="F125" s="386"/>
      <c r="G125" s="386"/>
      <c r="H125" s="386"/>
      <c r="I125" s="386"/>
      <c r="J125" s="386"/>
    </row>
    <row r="126" spans="1:10" ht="16.5">
      <c r="A126" s="398"/>
      <c r="B126" s="399"/>
      <c r="C126" s="385"/>
      <c r="D126" s="385"/>
      <c r="E126" s="385"/>
      <c r="F126" s="386"/>
      <c r="G126" s="386"/>
      <c r="H126" s="386"/>
      <c r="I126" s="386"/>
      <c r="J126" s="386"/>
    </row>
    <row r="127" spans="1:10" ht="16.5">
      <c r="A127" s="398"/>
      <c r="B127" s="399"/>
      <c r="C127" s="385"/>
      <c r="D127" s="385"/>
      <c r="E127" s="385"/>
      <c r="F127" s="386"/>
      <c r="G127" s="386"/>
      <c r="H127" s="386"/>
      <c r="I127" s="386"/>
      <c r="J127" s="386"/>
    </row>
    <row r="128" spans="1:10" ht="16.5">
      <c r="A128" s="398"/>
      <c r="B128" s="399"/>
      <c r="C128" s="385"/>
      <c r="D128" s="385"/>
      <c r="E128" s="385"/>
      <c r="F128" s="386"/>
      <c r="G128" s="386"/>
      <c r="H128" s="386"/>
      <c r="I128" s="386"/>
      <c r="J128" s="386"/>
    </row>
    <row r="129" spans="1:10" ht="16.5">
      <c r="A129" s="398"/>
      <c r="B129" s="399"/>
      <c r="C129" s="385"/>
      <c r="D129" s="385"/>
      <c r="E129" s="385"/>
      <c r="F129" s="386"/>
      <c r="G129" s="386"/>
      <c r="H129" s="386"/>
      <c r="I129" s="386"/>
      <c r="J129" s="386"/>
    </row>
    <row r="130" spans="1:10" ht="16.5">
      <c r="A130" s="398"/>
      <c r="B130" s="399"/>
      <c r="C130" s="385"/>
      <c r="D130" s="385"/>
      <c r="E130" s="385"/>
      <c r="F130" s="386"/>
      <c r="G130" s="386"/>
      <c r="H130" s="386"/>
      <c r="I130" s="386"/>
      <c r="J130" s="386"/>
    </row>
    <row r="131" spans="1:10" ht="16.5">
      <c r="A131" s="398"/>
      <c r="B131" s="399"/>
      <c r="C131" s="385"/>
      <c r="D131" s="385"/>
      <c r="E131" s="385"/>
      <c r="F131" s="386"/>
      <c r="G131" s="386"/>
      <c r="H131" s="386"/>
      <c r="I131" s="386"/>
      <c r="J131" s="386"/>
    </row>
    <row r="132" spans="1:10" ht="16.5">
      <c r="A132" s="398"/>
      <c r="B132" s="399"/>
      <c r="C132" s="385"/>
      <c r="D132" s="385"/>
      <c r="E132" s="385"/>
      <c r="F132" s="386"/>
      <c r="G132" s="386"/>
      <c r="H132" s="386"/>
      <c r="I132" s="386"/>
      <c r="J132" s="386"/>
    </row>
    <row r="133" spans="1:10" ht="16.5">
      <c r="A133" s="398"/>
      <c r="B133" s="399"/>
      <c r="C133" s="385"/>
      <c r="D133" s="385"/>
      <c r="E133" s="385"/>
      <c r="F133" s="386"/>
      <c r="G133" s="386"/>
      <c r="H133" s="386"/>
      <c r="I133" s="386"/>
      <c r="J133" s="386"/>
    </row>
    <row r="134" spans="1:10" ht="16.5">
      <c r="A134" s="398"/>
      <c r="B134" s="399"/>
      <c r="C134" s="385"/>
      <c r="D134" s="385"/>
      <c r="E134" s="385"/>
      <c r="F134" s="386"/>
      <c r="G134" s="386"/>
      <c r="H134" s="386"/>
      <c r="I134" s="386"/>
      <c r="J134" s="386"/>
    </row>
    <row r="135" spans="1:10" ht="16.5">
      <c r="A135" s="398"/>
      <c r="B135" s="399"/>
      <c r="C135" s="385"/>
      <c r="D135" s="385"/>
      <c r="E135" s="385"/>
      <c r="F135" s="386"/>
      <c r="G135" s="386"/>
      <c r="H135" s="386"/>
      <c r="I135" s="386"/>
      <c r="J135" s="386"/>
    </row>
    <row r="136" spans="1:10" ht="16.5">
      <c r="A136" s="398"/>
      <c r="B136" s="399"/>
      <c r="C136" s="385"/>
      <c r="D136" s="385"/>
      <c r="E136" s="385"/>
      <c r="F136" s="386"/>
      <c r="G136" s="386"/>
      <c r="H136" s="386"/>
      <c r="I136" s="386"/>
      <c r="J136" s="386"/>
    </row>
    <row r="137" spans="1:10" ht="16.5">
      <c r="A137" s="398"/>
      <c r="B137" s="399"/>
      <c r="C137" s="385"/>
      <c r="D137" s="385"/>
      <c r="E137" s="385"/>
      <c r="F137" s="386"/>
      <c r="G137" s="386"/>
      <c r="H137" s="386"/>
      <c r="I137" s="386"/>
      <c r="J137" s="386"/>
    </row>
    <row r="138" spans="1:10" ht="16.5">
      <c r="A138" s="398"/>
      <c r="B138" s="399"/>
      <c r="C138" s="385"/>
      <c r="D138" s="385"/>
      <c r="E138" s="385"/>
      <c r="F138" s="386"/>
      <c r="G138" s="386"/>
      <c r="H138" s="386"/>
      <c r="I138" s="386"/>
      <c r="J138" s="386"/>
    </row>
    <row r="139" spans="1:10" ht="16.5">
      <c r="A139" s="398"/>
      <c r="B139" s="399"/>
      <c r="C139" s="385"/>
      <c r="D139" s="385"/>
      <c r="E139" s="385"/>
      <c r="F139" s="386"/>
      <c r="G139" s="386"/>
      <c r="H139" s="386"/>
      <c r="I139" s="386"/>
      <c r="J139" s="386"/>
    </row>
    <row r="140" spans="1:10" ht="16.5">
      <c r="A140" s="398"/>
      <c r="B140" s="399"/>
      <c r="C140" s="385"/>
      <c r="D140" s="385"/>
      <c r="E140" s="385"/>
      <c r="F140" s="386"/>
      <c r="G140" s="386"/>
      <c r="H140" s="386"/>
      <c r="I140" s="386"/>
      <c r="J140" s="386"/>
    </row>
    <row r="141" spans="1:10" ht="16.5">
      <c r="A141" s="398"/>
      <c r="B141" s="399"/>
      <c r="C141" s="385"/>
      <c r="D141" s="385"/>
      <c r="E141" s="385"/>
      <c r="F141" s="386"/>
      <c r="G141" s="386"/>
      <c r="H141" s="386"/>
      <c r="I141" s="386"/>
      <c r="J141" s="386"/>
    </row>
    <row r="142" spans="1:10" ht="16.5">
      <c r="A142" s="398"/>
      <c r="B142" s="399"/>
      <c r="C142" s="385"/>
      <c r="D142" s="385"/>
      <c r="E142" s="385"/>
      <c r="F142" s="386"/>
      <c r="G142" s="386"/>
      <c r="H142" s="386"/>
      <c r="I142" s="386"/>
      <c r="J142" s="386"/>
    </row>
    <row r="143" spans="1:10" ht="16.5">
      <c r="A143" s="398"/>
      <c r="B143" s="399"/>
      <c r="C143" s="385"/>
      <c r="D143" s="385"/>
      <c r="E143" s="385"/>
      <c r="F143" s="386"/>
      <c r="G143" s="386"/>
      <c r="H143" s="386"/>
      <c r="I143" s="386"/>
      <c r="J143" s="386"/>
    </row>
    <row r="144" spans="1:10" ht="16.5">
      <c r="A144" s="398"/>
      <c r="B144" s="399"/>
      <c r="C144" s="385"/>
      <c r="D144" s="385"/>
      <c r="E144" s="385"/>
      <c r="F144" s="386"/>
      <c r="G144" s="386"/>
      <c r="H144" s="386"/>
      <c r="I144" s="386"/>
      <c r="J144" s="386"/>
    </row>
    <row r="145" spans="1:10" ht="16.5">
      <c r="A145" s="398"/>
      <c r="B145" s="399"/>
      <c r="C145" s="385"/>
      <c r="D145" s="385"/>
      <c r="E145" s="385"/>
      <c r="F145" s="386"/>
      <c r="G145" s="386"/>
      <c r="H145" s="386"/>
      <c r="I145" s="386"/>
      <c r="J145" s="386"/>
    </row>
    <row r="146" spans="1:10" ht="16.5">
      <c r="A146" s="398"/>
      <c r="B146" s="399"/>
      <c r="C146" s="385"/>
      <c r="D146" s="385"/>
      <c r="E146" s="385"/>
      <c r="F146" s="386"/>
      <c r="G146" s="386"/>
      <c r="H146" s="386"/>
      <c r="I146" s="386"/>
      <c r="J146" s="386"/>
    </row>
    <row r="147" spans="1:10" ht="16.5">
      <c r="A147" s="398"/>
      <c r="B147" s="399"/>
      <c r="C147" s="385"/>
      <c r="D147" s="385"/>
      <c r="E147" s="385"/>
      <c r="F147" s="386"/>
      <c r="G147" s="386"/>
      <c r="H147" s="386"/>
      <c r="I147" s="386"/>
      <c r="J147" s="386"/>
    </row>
    <row r="148" spans="1:10" ht="16.5">
      <c r="A148" s="398"/>
      <c r="B148" s="399"/>
      <c r="C148" s="385"/>
      <c r="D148" s="385"/>
      <c r="E148" s="385"/>
      <c r="F148" s="386"/>
      <c r="G148" s="386"/>
      <c r="H148" s="386"/>
      <c r="I148" s="386"/>
      <c r="J148" s="386"/>
    </row>
    <row r="149" spans="1:10" ht="16.5">
      <c r="A149" s="398"/>
      <c r="B149" s="399"/>
      <c r="C149" s="385"/>
      <c r="D149" s="385"/>
      <c r="E149" s="385"/>
      <c r="F149" s="386"/>
      <c r="G149" s="386"/>
      <c r="H149" s="386"/>
      <c r="I149" s="386"/>
      <c r="J149" s="386"/>
    </row>
    <row r="150" spans="1:10" ht="16.5">
      <c r="A150" s="398"/>
      <c r="B150" s="399"/>
      <c r="C150" s="385"/>
      <c r="D150" s="385"/>
      <c r="E150" s="385"/>
      <c r="F150" s="386"/>
      <c r="G150" s="386"/>
      <c r="H150" s="386"/>
      <c r="I150" s="386"/>
      <c r="J150" s="386"/>
    </row>
    <row r="151" spans="1:10" ht="16.5">
      <c r="A151" s="398"/>
      <c r="B151" s="399"/>
      <c r="C151" s="385"/>
      <c r="D151" s="385"/>
      <c r="E151" s="385"/>
      <c r="F151" s="386"/>
      <c r="G151" s="386"/>
      <c r="H151" s="386"/>
      <c r="I151" s="386"/>
      <c r="J151" s="386"/>
    </row>
    <row r="152" spans="1:10" ht="16.5">
      <c r="A152" s="398"/>
      <c r="B152" s="399"/>
      <c r="C152" s="385"/>
      <c r="D152" s="385"/>
      <c r="E152" s="385"/>
      <c r="F152" s="386"/>
      <c r="G152" s="386"/>
      <c r="H152" s="386"/>
      <c r="I152" s="386"/>
      <c r="J152" s="386"/>
    </row>
    <row r="153" spans="1:10" ht="16.5">
      <c r="A153" s="398"/>
      <c r="B153" s="399"/>
      <c r="C153" s="385"/>
      <c r="D153" s="385"/>
      <c r="E153" s="385"/>
      <c r="F153" s="386"/>
      <c r="G153" s="386"/>
      <c r="H153" s="386"/>
      <c r="I153" s="386"/>
      <c r="J153" s="386"/>
    </row>
    <row r="154" spans="1:10" ht="16.5">
      <c r="A154" s="398"/>
      <c r="B154" s="399"/>
      <c r="C154" s="385"/>
      <c r="D154" s="385"/>
      <c r="E154" s="385"/>
      <c r="F154" s="386"/>
      <c r="G154" s="386"/>
      <c r="H154" s="386"/>
      <c r="I154" s="386"/>
      <c r="J154" s="386"/>
    </row>
    <row r="155" spans="1:10" ht="16.5">
      <c r="A155" s="398"/>
      <c r="B155" s="399"/>
      <c r="C155" s="385"/>
      <c r="D155" s="385"/>
      <c r="E155" s="385"/>
      <c r="F155" s="386"/>
      <c r="G155" s="386"/>
      <c r="H155" s="386"/>
      <c r="I155" s="386"/>
      <c r="J155" s="386"/>
    </row>
    <row r="156" spans="1:10" ht="16.5">
      <c r="A156" s="398"/>
      <c r="B156" s="399"/>
      <c r="C156" s="385"/>
      <c r="D156" s="385"/>
      <c r="E156" s="385"/>
      <c r="F156" s="386"/>
      <c r="G156" s="386"/>
      <c r="H156" s="386"/>
      <c r="I156" s="386"/>
      <c r="J156" s="386"/>
    </row>
    <row r="157" spans="1:10" ht="16.5">
      <c r="A157" s="398"/>
      <c r="B157" s="399"/>
      <c r="C157" s="385"/>
      <c r="D157" s="385"/>
      <c r="E157" s="385"/>
      <c r="F157" s="386"/>
      <c r="G157" s="386"/>
      <c r="H157" s="386"/>
      <c r="I157" s="386"/>
      <c r="J157" s="386"/>
    </row>
    <row r="158" spans="1:10" ht="16.5">
      <c r="A158" s="398"/>
      <c r="B158" s="399"/>
      <c r="C158" s="385"/>
      <c r="D158" s="385"/>
      <c r="E158" s="385"/>
      <c r="F158" s="386"/>
      <c r="G158" s="386"/>
      <c r="H158" s="386"/>
      <c r="I158" s="386"/>
      <c r="J158" s="386"/>
    </row>
    <row r="159" spans="1:10" ht="16.5">
      <c r="A159" s="398"/>
      <c r="B159" s="399"/>
      <c r="C159" s="385"/>
      <c r="D159" s="385"/>
      <c r="E159" s="385"/>
      <c r="F159" s="386"/>
      <c r="G159" s="386"/>
      <c r="H159" s="386"/>
      <c r="I159" s="386"/>
      <c r="J159" s="386"/>
    </row>
    <row r="160" spans="1:10" ht="16.5">
      <c r="A160" s="398"/>
      <c r="B160" s="399"/>
      <c r="C160" s="385"/>
      <c r="D160" s="385"/>
      <c r="E160" s="385"/>
      <c r="F160" s="386"/>
      <c r="G160" s="386"/>
      <c r="H160" s="386"/>
      <c r="I160" s="386"/>
      <c r="J160" s="386"/>
    </row>
    <row r="161" spans="1:10" ht="16.5">
      <c r="A161" s="398"/>
      <c r="B161" s="399"/>
      <c r="C161" s="385"/>
      <c r="D161" s="385"/>
      <c r="E161" s="385"/>
      <c r="F161" s="386"/>
      <c r="G161" s="386"/>
      <c r="H161" s="386"/>
      <c r="I161" s="386"/>
      <c r="J161" s="386"/>
    </row>
    <row r="162" spans="1:10" ht="16.5">
      <c r="A162" s="398"/>
      <c r="B162" s="399"/>
      <c r="C162" s="385"/>
      <c r="D162" s="385"/>
      <c r="E162" s="385"/>
      <c r="F162" s="386"/>
      <c r="G162" s="386"/>
      <c r="H162" s="386"/>
      <c r="I162" s="386"/>
      <c r="J162" s="386"/>
    </row>
    <row r="163" spans="1:10" ht="16.5">
      <c r="A163" s="398"/>
      <c r="B163" s="399"/>
      <c r="C163" s="385"/>
      <c r="D163" s="385"/>
      <c r="E163" s="385"/>
      <c r="F163" s="386"/>
      <c r="G163" s="386"/>
      <c r="H163" s="386"/>
      <c r="I163" s="386"/>
      <c r="J163" s="386"/>
    </row>
    <row r="164" spans="1:10" ht="16.5">
      <c r="A164" s="398"/>
      <c r="B164" s="399"/>
      <c r="C164" s="385"/>
      <c r="D164" s="385"/>
      <c r="E164" s="385"/>
      <c r="F164" s="386"/>
      <c r="G164" s="386"/>
      <c r="H164" s="386"/>
      <c r="I164" s="386"/>
      <c r="J164" s="386"/>
    </row>
    <row r="165" spans="1:10" ht="16.5">
      <c r="A165" s="398"/>
      <c r="B165" s="399"/>
      <c r="C165" s="385"/>
      <c r="D165" s="385"/>
      <c r="E165" s="385"/>
      <c r="F165" s="386"/>
      <c r="G165" s="386"/>
      <c r="H165" s="386"/>
      <c r="I165" s="386"/>
      <c r="J165" s="386"/>
    </row>
    <row r="166" spans="1:10" ht="16.5">
      <c r="A166" s="398"/>
      <c r="B166" s="399"/>
      <c r="C166" s="385"/>
      <c r="D166" s="385"/>
      <c r="E166" s="385"/>
      <c r="F166" s="386"/>
      <c r="G166" s="386"/>
      <c r="H166" s="386"/>
      <c r="I166" s="386"/>
      <c r="J166" s="386"/>
    </row>
    <row r="167" spans="1:10" ht="16.5">
      <c r="A167" s="398"/>
      <c r="B167" s="399"/>
      <c r="C167" s="385"/>
      <c r="D167" s="385"/>
      <c r="E167" s="385"/>
      <c r="F167" s="386"/>
      <c r="G167" s="386"/>
      <c r="H167" s="386"/>
      <c r="I167" s="386"/>
      <c r="J167" s="386"/>
    </row>
    <row r="168" spans="1:10" ht="16.5">
      <c r="A168" s="398"/>
      <c r="B168" s="399"/>
      <c r="C168" s="385"/>
      <c r="D168" s="385"/>
      <c r="E168" s="385"/>
      <c r="F168" s="386"/>
      <c r="G168" s="386"/>
      <c r="H168" s="386"/>
      <c r="I168" s="386"/>
      <c r="J168" s="386"/>
    </row>
    <row r="169" spans="1:10" ht="16.5">
      <c r="A169" s="398"/>
      <c r="B169" s="399"/>
      <c r="C169" s="385"/>
      <c r="D169" s="385"/>
      <c r="E169" s="385"/>
      <c r="F169" s="386"/>
      <c r="G169" s="386"/>
      <c r="H169" s="386"/>
      <c r="I169" s="386"/>
      <c r="J169" s="386"/>
    </row>
    <row r="170" spans="1:10" ht="16.5">
      <c r="A170" s="398"/>
      <c r="B170" s="399"/>
      <c r="C170" s="385"/>
      <c r="D170" s="385"/>
      <c r="E170" s="385"/>
      <c r="F170" s="386"/>
      <c r="G170" s="386"/>
      <c r="H170" s="386"/>
      <c r="I170" s="386"/>
      <c r="J170" s="386"/>
    </row>
    <row r="171" spans="1:10" ht="16.5">
      <c r="A171" s="398"/>
      <c r="B171" s="399"/>
      <c r="C171" s="385"/>
      <c r="D171" s="385"/>
      <c r="E171" s="385"/>
      <c r="F171" s="386"/>
      <c r="G171" s="386"/>
      <c r="H171" s="386"/>
      <c r="I171" s="386"/>
      <c r="J171" s="386"/>
    </row>
    <row r="172" spans="1:10" ht="16.5">
      <c r="A172" s="398"/>
      <c r="B172" s="399"/>
      <c r="C172" s="385"/>
      <c r="D172" s="385"/>
      <c r="E172" s="385"/>
      <c r="F172" s="386"/>
      <c r="G172" s="386"/>
      <c r="H172" s="386"/>
      <c r="I172" s="386"/>
      <c r="J172" s="386"/>
    </row>
    <row r="173" spans="1:10" ht="16.5">
      <c r="A173" s="398"/>
      <c r="B173" s="399"/>
      <c r="C173" s="385"/>
      <c r="D173" s="385"/>
      <c r="E173" s="385"/>
      <c r="F173" s="386"/>
      <c r="G173" s="386"/>
      <c r="H173" s="386"/>
      <c r="I173" s="386"/>
      <c r="J173" s="386"/>
    </row>
    <row r="174" spans="1:10" ht="16.5">
      <c r="A174" s="398"/>
      <c r="B174" s="399"/>
      <c r="C174" s="385"/>
      <c r="D174" s="385"/>
      <c r="E174" s="385"/>
      <c r="F174" s="386"/>
      <c r="G174" s="386"/>
      <c r="H174" s="386"/>
      <c r="I174" s="386"/>
      <c r="J174" s="386"/>
    </row>
    <row r="175" spans="1:10" ht="16.5">
      <c r="A175" s="398"/>
      <c r="B175" s="399"/>
      <c r="C175" s="385"/>
      <c r="D175" s="385"/>
      <c r="E175" s="385"/>
      <c r="F175" s="386"/>
      <c r="G175" s="386"/>
      <c r="H175" s="386"/>
      <c r="I175" s="386"/>
      <c r="J175" s="386"/>
    </row>
    <row r="176" spans="1:10" ht="16.5">
      <c r="A176" s="398"/>
      <c r="B176" s="399"/>
      <c r="C176" s="385"/>
      <c r="D176" s="385"/>
      <c r="E176" s="385"/>
      <c r="F176" s="386"/>
      <c r="G176" s="386"/>
      <c r="H176" s="386"/>
      <c r="I176" s="386"/>
      <c r="J176" s="386"/>
    </row>
    <row r="177" spans="1:10" ht="16.5">
      <c r="A177" s="398"/>
      <c r="B177" s="399"/>
      <c r="C177" s="385"/>
      <c r="D177" s="385"/>
      <c r="E177" s="385"/>
      <c r="F177" s="386"/>
      <c r="G177" s="386"/>
      <c r="H177" s="386"/>
      <c r="I177" s="386"/>
      <c r="J177" s="386"/>
    </row>
    <row r="178" spans="1:10" ht="16.5">
      <c r="A178" s="398"/>
      <c r="B178" s="399"/>
      <c r="C178" s="385"/>
      <c r="D178" s="385"/>
      <c r="E178" s="385"/>
      <c r="F178" s="386"/>
      <c r="G178" s="386"/>
      <c r="H178" s="386"/>
      <c r="I178" s="386"/>
      <c r="J178" s="386"/>
    </row>
    <row r="179" spans="1:10" ht="16.5">
      <c r="A179" s="398"/>
      <c r="B179" s="399"/>
      <c r="C179" s="385"/>
      <c r="D179" s="385"/>
      <c r="E179" s="385"/>
      <c r="F179" s="386"/>
      <c r="G179" s="386"/>
      <c r="H179" s="386"/>
      <c r="I179" s="386"/>
      <c r="J179" s="386"/>
    </row>
    <row r="180" spans="1:10" ht="16.5">
      <c r="A180" s="398"/>
      <c r="B180" s="399"/>
      <c r="C180" s="385"/>
      <c r="D180" s="385"/>
      <c r="E180" s="385"/>
      <c r="F180" s="386"/>
      <c r="G180" s="386"/>
      <c r="H180" s="386"/>
      <c r="I180" s="386"/>
      <c r="J180" s="386"/>
    </row>
    <row r="181" spans="1:10" ht="16.5">
      <c r="A181" s="398"/>
      <c r="B181" s="399"/>
      <c r="C181" s="385"/>
      <c r="D181" s="385"/>
      <c r="E181" s="385"/>
      <c r="F181" s="386"/>
      <c r="G181" s="386"/>
      <c r="H181" s="386"/>
      <c r="I181" s="386"/>
      <c r="J181" s="386"/>
    </row>
    <row r="182" spans="1:10" ht="16.5">
      <c r="A182" s="398"/>
      <c r="B182" s="399"/>
      <c r="C182" s="385"/>
      <c r="D182" s="385"/>
      <c r="E182" s="385"/>
      <c r="F182" s="386"/>
      <c r="G182" s="386"/>
      <c r="H182" s="386"/>
      <c r="I182" s="386"/>
      <c r="J182" s="386"/>
    </row>
    <row r="183" spans="1:10" ht="16.5">
      <c r="A183" s="398"/>
      <c r="B183" s="399"/>
      <c r="C183" s="385"/>
      <c r="D183" s="385"/>
      <c r="E183" s="385"/>
      <c r="F183" s="386"/>
      <c r="G183" s="386"/>
      <c r="H183" s="386"/>
      <c r="I183" s="386"/>
      <c r="J183" s="386"/>
    </row>
    <row r="184" spans="1:10" ht="16.5">
      <c r="A184" s="398"/>
      <c r="B184" s="399"/>
      <c r="C184" s="385"/>
      <c r="D184" s="385"/>
      <c r="E184" s="385"/>
      <c r="F184" s="386"/>
      <c r="G184" s="386"/>
      <c r="H184" s="386"/>
      <c r="I184" s="386"/>
      <c r="J184" s="386"/>
    </row>
    <row r="185" spans="1:10" ht="16.5">
      <c r="A185" s="398"/>
      <c r="B185" s="399"/>
      <c r="C185" s="385"/>
      <c r="D185" s="385"/>
      <c r="E185" s="385"/>
      <c r="F185" s="386"/>
      <c r="G185" s="386"/>
      <c r="H185" s="386"/>
      <c r="I185" s="386"/>
      <c r="J185" s="386"/>
    </row>
    <row r="186" spans="1:10" ht="16.5">
      <c r="A186" s="398"/>
      <c r="B186" s="399"/>
      <c r="C186" s="385"/>
      <c r="D186" s="385"/>
      <c r="E186" s="385"/>
      <c r="F186" s="386"/>
      <c r="G186" s="386"/>
      <c r="H186" s="386"/>
      <c r="I186" s="386"/>
      <c r="J186" s="386"/>
    </row>
    <row r="187" spans="1:10" ht="16.5">
      <c r="A187" s="398"/>
      <c r="B187" s="399"/>
      <c r="C187" s="385"/>
      <c r="D187" s="385"/>
      <c r="E187" s="385"/>
      <c r="F187" s="386"/>
      <c r="G187" s="386"/>
      <c r="H187" s="386"/>
      <c r="I187" s="386"/>
      <c r="J187" s="386"/>
    </row>
    <row r="188" spans="1:10" ht="16.5">
      <c r="A188" s="398"/>
      <c r="B188" s="399"/>
      <c r="C188" s="385"/>
      <c r="D188" s="385"/>
      <c r="E188" s="385"/>
      <c r="F188" s="386"/>
      <c r="G188" s="386"/>
      <c r="H188" s="386"/>
      <c r="I188" s="386"/>
      <c r="J188" s="386"/>
    </row>
    <row r="189" spans="1:10" ht="16.5">
      <c r="A189" s="398"/>
      <c r="B189" s="399"/>
      <c r="C189" s="385"/>
      <c r="D189" s="385"/>
      <c r="E189" s="385"/>
      <c r="F189" s="386"/>
      <c r="G189" s="386"/>
      <c r="H189" s="386"/>
      <c r="I189" s="386"/>
      <c r="J189" s="386"/>
    </row>
    <row r="190" spans="1:10" ht="16.5">
      <c r="A190" s="398"/>
      <c r="B190" s="399"/>
      <c r="C190" s="385"/>
      <c r="D190" s="385"/>
      <c r="E190" s="385"/>
      <c r="F190" s="386"/>
      <c r="G190" s="386"/>
      <c r="H190" s="386"/>
      <c r="I190" s="386"/>
      <c r="J190" s="386"/>
    </row>
    <row r="191" spans="1:10" ht="16.5">
      <c r="A191" s="398"/>
      <c r="B191" s="399"/>
      <c r="C191" s="385"/>
      <c r="D191" s="385"/>
      <c r="E191" s="385"/>
      <c r="F191" s="386"/>
      <c r="G191" s="386"/>
      <c r="H191" s="386"/>
      <c r="I191" s="386"/>
      <c r="J191" s="386"/>
    </row>
  </sheetData>
  <sheetProtection/>
  <mergeCells count="11">
    <mergeCell ref="F5:J5"/>
    <mergeCell ref="G1:H1"/>
    <mergeCell ref="I1:J1"/>
    <mergeCell ref="B2:J2"/>
    <mergeCell ref="A3:J3"/>
    <mergeCell ref="A5:A6"/>
    <mergeCell ref="B75:J75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landscape" paperSize="9" scale="88" r:id="rId1"/>
  <colBreaks count="1" manualBreakCount="1">
    <brk id="10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246"/>
  <sheetViews>
    <sheetView tabSelected="1" view="pageBreakPreview" zoomScale="85" zoomScaleSheetLayoutView="85" zoomScalePageLayoutView="0" workbookViewId="0" topLeftCell="A1">
      <selection activeCell="F15" sqref="F15"/>
    </sheetView>
  </sheetViews>
  <sheetFormatPr defaultColWidth="9.140625" defaultRowHeight="12.75"/>
  <cols>
    <col min="1" max="1" width="5.8515625" style="405" customWidth="1"/>
    <col min="2" max="2" width="38.57421875" style="382" customWidth="1"/>
    <col min="3" max="3" width="16.57421875" style="383" customWidth="1"/>
    <col min="4" max="5" width="16.00390625" style="383" customWidth="1"/>
    <col min="6" max="6" width="15.00390625" style="381" customWidth="1"/>
    <col min="7" max="7" width="15.28125" style="381" customWidth="1"/>
    <col min="8" max="8" width="13.421875" style="381" customWidth="1"/>
    <col min="9" max="9" width="14.57421875" style="381" customWidth="1"/>
    <col min="10" max="10" width="15.00390625" style="381" customWidth="1"/>
    <col min="11" max="16384" width="9.140625" style="381" customWidth="1"/>
  </cols>
  <sheetData>
    <row r="1" spans="2:10" s="461" customFormat="1" ht="19.5" customHeight="1">
      <c r="B1" s="458" t="s">
        <v>382</v>
      </c>
      <c r="C1" s="462"/>
      <c r="D1" s="462"/>
      <c r="E1" s="462"/>
      <c r="F1" s="965" t="s">
        <v>564</v>
      </c>
      <c r="G1" s="965"/>
      <c r="H1" s="965"/>
      <c r="I1" s="965" t="s">
        <v>566</v>
      </c>
      <c r="J1" s="965"/>
    </row>
    <row r="2" spans="1:10" ht="20.25" customHeight="1">
      <c r="A2" s="381"/>
      <c r="B2" s="1054" t="str">
        <f>'BM5(B)'!B2:J2</f>
        <v>Huyện Tuần Giáo</v>
      </c>
      <c r="C2" s="1054"/>
      <c r="D2" s="1054"/>
      <c r="E2" s="1054"/>
      <c r="F2" s="1054"/>
      <c r="G2" s="1054"/>
      <c r="H2" s="1054"/>
      <c r="I2" s="1054"/>
      <c r="J2" s="1054"/>
    </row>
    <row r="3" spans="1:10" ht="22.5" customHeight="1">
      <c r="A3" s="967" t="s">
        <v>677</v>
      </c>
      <c r="B3" s="967"/>
      <c r="C3" s="967"/>
      <c r="D3" s="967"/>
      <c r="E3" s="967"/>
      <c r="F3" s="967"/>
      <c r="G3" s="967"/>
      <c r="H3" s="967"/>
      <c r="I3" s="967"/>
      <c r="J3" s="967"/>
    </row>
    <row r="4" spans="1:10" ht="13.5" customHeight="1">
      <c r="A4" s="500"/>
      <c r="B4" s="500"/>
      <c r="C4" s="500"/>
      <c r="D4" s="500"/>
      <c r="E4" s="500"/>
      <c r="F4" s="500"/>
      <c r="G4" s="500"/>
      <c r="H4" s="500"/>
      <c r="I4" s="500"/>
      <c r="J4" s="500"/>
    </row>
    <row r="5" spans="1:10" ht="28.5" customHeight="1">
      <c r="A5" s="1059" t="s">
        <v>0</v>
      </c>
      <c r="B5" s="1059" t="s">
        <v>287</v>
      </c>
      <c r="C5" s="1059" t="s">
        <v>184</v>
      </c>
      <c r="D5" s="1055" t="s">
        <v>563</v>
      </c>
      <c r="E5" s="1055" t="s">
        <v>554</v>
      </c>
      <c r="F5" s="1056" t="s">
        <v>562</v>
      </c>
      <c r="G5" s="1057"/>
      <c r="H5" s="1057"/>
      <c r="I5" s="1057"/>
      <c r="J5" s="1058"/>
    </row>
    <row r="6" spans="1:10" s="388" customFormat="1" ht="27" customHeight="1">
      <c r="A6" s="1059"/>
      <c r="B6" s="1059"/>
      <c r="C6" s="1059"/>
      <c r="D6" s="1055"/>
      <c r="E6" s="1055"/>
      <c r="F6" s="502" t="s">
        <v>555</v>
      </c>
      <c r="G6" s="502" t="s">
        <v>556</v>
      </c>
      <c r="H6" s="502" t="s">
        <v>557</v>
      </c>
      <c r="I6" s="502" t="s">
        <v>558</v>
      </c>
      <c r="J6" s="502" t="s">
        <v>559</v>
      </c>
    </row>
    <row r="7" spans="1:10" s="393" customFormat="1" ht="23.25" customHeight="1">
      <c r="A7" s="437" t="s">
        <v>3</v>
      </c>
      <c r="B7" s="438" t="s">
        <v>407</v>
      </c>
      <c r="C7" s="435"/>
      <c r="D7" s="757"/>
      <c r="E7" s="757"/>
      <c r="F7" s="758"/>
      <c r="G7" s="758"/>
      <c r="H7" s="758"/>
      <c r="I7" s="758"/>
      <c r="J7" s="758"/>
    </row>
    <row r="8" spans="1:10" ht="23.25" customHeight="1">
      <c r="A8" s="434">
        <v>1</v>
      </c>
      <c r="B8" s="689" t="s">
        <v>408</v>
      </c>
      <c r="C8" s="436" t="s">
        <v>409</v>
      </c>
      <c r="D8" s="690">
        <f>'BM6'!L8</f>
        <v>89618</v>
      </c>
      <c r="E8" s="690">
        <v>96541</v>
      </c>
      <c r="F8" s="691">
        <v>90962</v>
      </c>
      <c r="G8" s="691">
        <v>92326</v>
      </c>
      <c r="H8" s="691">
        <v>93710</v>
      </c>
      <c r="I8" s="691">
        <v>95115</v>
      </c>
      <c r="J8" s="691">
        <v>96541</v>
      </c>
    </row>
    <row r="9" spans="1:10" s="524" customFormat="1" ht="23.25" customHeight="1">
      <c r="A9" s="498"/>
      <c r="B9" s="499" t="s">
        <v>410</v>
      </c>
      <c r="C9" s="497" t="str">
        <f>C8</f>
        <v>Người</v>
      </c>
      <c r="D9" s="690">
        <f>'BM6'!L9</f>
        <v>81774</v>
      </c>
      <c r="E9" s="690">
        <v>87370</v>
      </c>
      <c r="F9" s="690">
        <v>82584</v>
      </c>
      <c r="G9" s="690">
        <v>83758</v>
      </c>
      <c r="H9" s="690">
        <v>84948</v>
      </c>
      <c r="I9" s="690">
        <v>86155</v>
      </c>
      <c r="J9" s="690">
        <v>87370</v>
      </c>
    </row>
    <row r="10" spans="1:10" s="524" customFormat="1" ht="23.25" customHeight="1">
      <c r="A10" s="692">
        <v>2</v>
      </c>
      <c r="B10" s="693" t="s">
        <v>546</v>
      </c>
      <c r="C10" s="807" t="s">
        <v>547</v>
      </c>
      <c r="D10" s="872">
        <v>78</v>
      </c>
      <c r="E10" s="872">
        <v>85</v>
      </c>
      <c r="F10" s="872">
        <v>80</v>
      </c>
      <c r="G10" s="872">
        <v>81.3</v>
      </c>
      <c r="H10" s="872">
        <v>82.5</v>
      </c>
      <c r="I10" s="872">
        <v>83.7</v>
      </c>
      <c r="J10" s="872">
        <v>85</v>
      </c>
    </row>
    <row r="11" spans="1:10" s="524" customFormat="1" ht="23.25" customHeight="1">
      <c r="A11" s="498"/>
      <c r="B11" s="693" t="s">
        <v>411</v>
      </c>
      <c r="C11" s="694" t="s">
        <v>578</v>
      </c>
      <c r="D11" s="873">
        <v>0.3</v>
      </c>
      <c r="E11" s="874">
        <v>0.3</v>
      </c>
      <c r="F11" s="874">
        <v>0.3</v>
      </c>
      <c r="G11" s="874">
        <v>0.3</v>
      </c>
      <c r="H11" s="874">
        <v>0.3</v>
      </c>
      <c r="I11" s="874">
        <v>0.3</v>
      </c>
      <c r="J11" s="874">
        <v>0.3</v>
      </c>
    </row>
    <row r="12" spans="1:10" s="524" customFormat="1" ht="23.25" customHeight="1">
      <c r="A12" s="498"/>
      <c r="B12" s="875" t="s">
        <v>549</v>
      </c>
      <c r="C12" s="807" t="s">
        <v>548</v>
      </c>
      <c r="D12" s="872">
        <v>110</v>
      </c>
      <c r="E12" s="872">
        <v>106</v>
      </c>
      <c r="F12" s="876">
        <v>106</v>
      </c>
      <c r="G12" s="876">
        <v>106</v>
      </c>
      <c r="H12" s="876">
        <v>106</v>
      </c>
      <c r="I12" s="876">
        <v>106</v>
      </c>
      <c r="J12" s="876">
        <v>106</v>
      </c>
    </row>
    <row r="13" spans="1:10" s="524" customFormat="1" ht="23.25" customHeight="1">
      <c r="A13" s="498"/>
      <c r="B13" s="877" t="s">
        <v>645</v>
      </c>
      <c r="C13" s="694" t="s">
        <v>303</v>
      </c>
      <c r="D13" s="878">
        <v>1.5</v>
      </c>
      <c r="E13" s="879">
        <v>1.45</v>
      </c>
      <c r="F13" s="879">
        <v>1.49</v>
      </c>
      <c r="G13" s="879">
        <v>1.48</v>
      </c>
      <c r="H13" s="879">
        <v>1.47</v>
      </c>
      <c r="I13" s="879">
        <v>1.46</v>
      </c>
      <c r="J13" s="879">
        <v>1.45</v>
      </c>
    </row>
    <row r="14" spans="1:10" s="524" customFormat="1" ht="23.25" customHeight="1">
      <c r="A14" s="498"/>
      <c r="B14" s="877" t="s">
        <v>302</v>
      </c>
      <c r="C14" s="657" t="s">
        <v>70</v>
      </c>
      <c r="D14" s="872">
        <v>68.5</v>
      </c>
      <c r="E14" s="876">
        <v>72</v>
      </c>
      <c r="F14" s="880">
        <v>69.2</v>
      </c>
      <c r="G14" s="880">
        <v>69.9</v>
      </c>
      <c r="H14" s="880">
        <v>70.6</v>
      </c>
      <c r="I14" s="880">
        <v>71.3</v>
      </c>
      <c r="J14" s="876">
        <v>72</v>
      </c>
    </row>
    <row r="15" spans="1:10" s="393" customFormat="1" ht="23.25" customHeight="1">
      <c r="A15" s="437" t="s">
        <v>11</v>
      </c>
      <c r="B15" s="503" t="s">
        <v>412</v>
      </c>
      <c r="C15" s="435"/>
      <c r="D15" s="690"/>
      <c r="E15" s="759"/>
      <c r="F15" s="759"/>
      <c r="G15" s="759"/>
      <c r="H15" s="759"/>
      <c r="I15" s="759"/>
      <c r="J15" s="759"/>
    </row>
    <row r="16" spans="1:10" ht="23.25" customHeight="1">
      <c r="A16" s="434">
        <v>1</v>
      </c>
      <c r="B16" s="504" t="s">
        <v>413</v>
      </c>
      <c r="C16" s="436" t="str">
        <f>C9</f>
        <v>Người</v>
      </c>
      <c r="D16" s="690">
        <f>'BM6'!L16</f>
        <v>52744</v>
      </c>
      <c r="E16" s="691">
        <v>55979</v>
      </c>
      <c r="F16" s="691">
        <v>53403</v>
      </c>
      <c r="G16" s="691">
        <v>54105</v>
      </c>
      <c r="H16" s="691">
        <v>54817</v>
      </c>
      <c r="I16" s="691">
        <v>55437</v>
      </c>
      <c r="J16" s="691">
        <v>55979</v>
      </c>
    </row>
    <row r="17" spans="1:10" ht="34.5" customHeight="1">
      <c r="A17" s="434">
        <v>2</v>
      </c>
      <c r="B17" s="504" t="s">
        <v>414</v>
      </c>
      <c r="C17" s="436" t="str">
        <f>C16</f>
        <v>Người</v>
      </c>
      <c r="D17" s="690">
        <f>'BM6'!L17</f>
        <v>51689.12</v>
      </c>
      <c r="E17" s="632">
        <v>54859.42</v>
      </c>
      <c r="F17" s="632">
        <v>52334.94</v>
      </c>
      <c r="G17" s="632">
        <v>53022.9</v>
      </c>
      <c r="H17" s="632">
        <v>53720.66</v>
      </c>
      <c r="I17" s="632">
        <v>54328.26</v>
      </c>
      <c r="J17" s="632">
        <v>54859.42</v>
      </c>
    </row>
    <row r="18" spans="1:10" s="524" customFormat="1" ht="23.25" customHeight="1">
      <c r="A18" s="498"/>
      <c r="B18" s="696" t="s">
        <v>415</v>
      </c>
      <c r="C18" s="497"/>
      <c r="D18" s="690"/>
      <c r="E18" s="760"/>
      <c r="F18" s="760"/>
      <c r="G18" s="760"/>
      <c r="H18" s="760"/>
      <c r="I18" s="760"/>
      <c r="J18" s="760"/>
    </row>
    <row r="19" spans="1:18" ht="23.25" customHeight="1">
      <c r="A19" s="434"/>
      <c r="B19" s="693" t="s">
        <v>416</v>
      </c>
      <c r="C19" s="694" t="s">
        <v>303</v>
      </c>
      <c r="D19" s="690">
        <f>'BM6'!L19</f>
        <v>86.9</v>
      </c>
      <c r="E19" s="695">
        <v>35.658623</v>
      </c>
      <c r="F19" s="695">
        <v>36.65706669408</v>
      </c>
      <c r="G19" s="695">
        <v>36.649428480000005</v>
      </c>
      <c r="H19" s="695">
        <v>36.47632814000001</v>
      </c>
      <c r="I19" s="695">
        <v>35.711051863200005</v>
      </c>
      <c r="J19" s="695">
        <v>35.658623</v>
      </c>
      <c r="L19" s="697"/>
      <c r="M19" s="697"/>
      <c r="N19" s="697"/>
      <c r="O19" s="697"/>
      <c r="P19" s="697"/>
      <c r="Q19" s="697"/>
      <c r="R19" s="697"/>
    </row>
    <row r="20" spans="1:18" ht="23.25" customHeight="1">
      <c r="A20" s="434"/>
      <c r="B20" s="693" t="s">
        <v>43</v>
      </c>
      <c r="C20" s="694" t="s">
        <v>303</v>
      </c>
      <c r="D20" s="690">
        <f>'BM6'!L20</f>
        <v>8</v>
      </c>
      <c r="E20" s="695">
        <v>12.269309282999998</v>
      </c>
      <c r="F20" s="695">
        <v>10.461754506</v>
      </c>
      <c r="G20" s="695">
        <v>10.60458</v>
      </c>
      <c r="H20" s="695">
        <v>11.293962955100001</v>
      </c>
      <c r="I20" s="695">
        <v>11.767392459480002</v>
      </c>
      <c r="J20" s="695">
        <v>12.269309282999998</v>
      </c>
      <c r="L20" s="697"/>
      <c r="M20" s="697"/>
      <c r="N20" s="697"/>
      <c r="O20" s="697"/>
      <c r="P20" s="697"/>
      <c r="Q20" s="697"/>
      <c r="R20" s="697"/>
    </row>
    <row r="21" spans="1:18" ht="23.25" customHeight="1">
      <c r="A21" s="434"/>
      <c r="B21" s="693" t="s">
        <v>44</v>
      </c>
      <c r="C21" s="694" t="s">
        <v>303</v>
      </c>
      <c r="D21" s="690">
        <f>'BM6'!L21</f>
        <v>5.1</v>
      </c>
      <c r="E21" s="695">
        <v>6.9314877169999995</v>
      </c>
      <c r="F21" s="695">
        <v>5.216118799920003</v>
      </c>
      <c r="G21" s="695">
        <v>5.7688915199999995</v>
      </c>
      <c r="H21" s="695">
        <v>5.950368904899997</v>
      </c>
      <c r="I21" s="695">
        <v>6.849815677319999</v>
      </c>
      <c r="J21" s="695">
        <v>6.9314877169999995</v>
      </c>
      <c r="L21" s="697"/>
      <c r="M21" s="697"/>
      <c r="N21" s="697"/>
      <c r="O21" s="697"/>
      <c r="P21" s="697"/>
      <c r="Q21" s="697"/>
      <c r="R21" s="697"/>
    </row>
    <row r="22" spans="1:10" ht="23.25" customHeight="1">
      <c r="A22" s="434">
        <v>3</v>
      </c>
      <c r="B22" s="504" t="s">
        <v>417</v>
      </c>
      <c r="C22" s="436" t="s">
        <v>397</v>
      </c>
      <c r="D22" s="690">
        <f>'BM6'!L22</f>
        <v>5296</v>
      </c>
      <c r="E22" s="691">
        <v>5300</v>
      </c>
      <c r="F22" s="691">
        <v>1000</v>
      </c>
      <c r="G22" s="691">
        <v>1000</v>
      </c>
      <c r="H22" s="691">
        <v>1100</v>
      </c>
      <c r="I22" s="691">
        <v>1100</v>
      </c>
      <c r="J22" s="691">
        <v>1100</v>
      </c>
    </row>
    <row r="23" spans="1:10" s="393" customFormat="1" ht="23.25" customHeight="1">
      <c r="A23" s="437" t="s">
        <v>15</v>
      </c>
      <c r="B23" s="503" t="s">
        <v>418</v>
      </c>
      <c r="C23" s="435"/>
      <c r="D23" s="690"/>
      <c r="E23" s="759"/>
      <c r="F23" s="761"/>
      <c r="G23" s="761"/>
      <c r="H23" s="761"/>
      <c r="I23" s="761"/>
      <c r="J23" s="761"/>
    </row>
    <row r="24" spans="1:10" ht="23.25" customHeight="1">
      <c r="A24" s="434"/>
      <c r="B24" s="504" t="s">
        <v>419</v>
      </c>
      <c r="C24" s="436" t="s">
        <v>420</v>
      </c>
      <c r="D24" s="690">
        <f>'BM6'!L24</f>
        <v>1.2</v>
      </c>
      <c r="E24" s="762"/>
      <c r="F24" s="763"/>
      <c r="G24" s="763"/>
      <c r="H24" s="763"/>
      <c r="I24" s="763"/>
      <c r="J24" s="763"/>
    </row>
    <row r="25" spans="1:10" s="698" customFormat="1" ht="23.25" customHeight="1">
      <c r="A25" s="437" t="s">
        <v>18</v>
      </c>
      <c r="B25" s="503" t="s">
        <v>656</v>
      </c>
      <c r="C25" s="435"/>
      <c r="D25" s="690"/>
      <c r="E25" s="759"/>
      <c r="F25" s="761"/>
      <c r="G25" s="761"/>
      <c r="H25" s="761"/>
      <c r="I25" s="761"/>
      <c r="J25" s="761"/>
    </row>
    <row r="26" spans="1:10" s="698" customFormat="1" ht="34.5" customHeight="1">
      <c r="A26" s="699">
        <v>1</v>
      </c>
      <c r="B26" s="700" t="s">
        <v>568</v>
      </c>
      <c r="C26" s="436" t="s">
        <v>581</v>
      </c>
      <c r="D26" s="690">
        <f>'BM6'!L26</f>
        <v>63.2</v>
      </c>
      <c r="E26" s="691">
        <v>440</v>
      </c>
      <c r="F26" s="691">
        <v>400</v>
      </c>
      <c r="G26" s="691">
        <v>410</v>
      </c>
      <c r="H26" s="691">
        <v>420</v>
      </c>
      <c r="I26" s="691">
        <v>430</v>
      </c>
      <c r="J26" s="691">
        <v>440</v>
      </c>
    </row>
    <row r="27" spans="1:10" s="698" customFormat="1" ht="34.5" customHeight="1">
      <c r="A27" s="699">
        <v>2</v>
      </c>
      <c r="B27" s="700" t="s">
        <v>657</v>
      </c>
      <c r="C27" s="436" t="s">
        <v>581</v>
      </c>
      <c r="D27" s="690">
        <f>'BM6'!L27</f>
        <v>98</v>
      </c>
      <c r="E27" s="691">
        <f aca="true" t="shared" si="0" ref="E27:J27">E29+E30</f>
        <v>169</v>
      </c>
      <c r="F27" s="691">
        <f t="shared" si="0"/>
        <v>159</v>
      </c>
      <c r="G27" s="691">
        <f t="shared" si="0"/>
        <v>162</v>
      </c>
      <c r="H27" s="691">
        <f t="shared" si="0"/>
        <v>164</v>
      </c>
      <c r="I27" s="691">
        <f t="shared" si="0"/>
        <v>166</v>
      </c>
      <c r="J27" s="691">
        <f t="shared" si="0"/>
        <v>169</v>
      </c>
    </row>
    <row r="28" spans="1:10" s="698" customFormat="1" ht="23.25" customHeight="1">
      <c r="A28" s="703"/>
      <c r="B28" s="704" t="s">
        <v>569</v>
      </c>
      <c r="C28" s="497"/>
      <c r="D28" s="690"/>
      <c r="E28" s="691"/>
      <c r="F28" s="691"/>
      <c r="G28" s="691"/>
      <c r="H28" s="691"/>
      <c r="I28" s="691"/>
      <c r="J28" s="691"/>
    </row>
    <row r="29" spans="1:10" s="698" customFormat="1" ht="37.5" customHeight="1">
      <c r="A29" s="705"/>
      <c r="B29" s="706" t="s">
        <v>570</v>
      </c>
      <c r="C29" s="436" t="s">
        <v>581</v>
      </c>
      <c r="D29" s="690"/>
      <c r="E29" s="691">
        <v>145</v>
      </c>
      <c r="F29" s="691">
        <v>135</v>
      </c>
      <c r="G29" s="691">
        <v>138</v>
      </c>
      <c r="H29" s="691">
        <v>140</v>
      </c>
      <c r="I29" s="691">
        <v>142</v>
      </c>
      <c r="J29" s="691">
        <v>145</v>
      </c>
    </row>
    <row r="30" spans="1:10" s="698" customFormat="1" ht="49.5" customHeight="1">
      <c r="A30" s="703"/>
      <c r="B30" s="706" t="s">
        <v>571</v>
      </c>
      <c r="C30" s="436" t="s">
        <v>581</v>
      </c>
      <c r="D30" s="690"/>
      <c r="E30" s="691">
        <v>24</v>
      </c>
      <c r="F30" s="691">
        <v>24</v>
      </c>
      <c r="G30" s="691">
        <v>24</v>
      </c>
      <c r="H30" s="691">
        <v>24</v>
      </c>
      <c r="I30" s="691">
        <v>24</v>
      </c>
      <c r="J30" s="691">
        <v>24</v>
      </c>
    </row>
    <row r="31" spans="1:10" s="698" customFormat="1" ht="37.5" customHeight="1">
      <c r="A31" s="705"/>
      <c r="B31" s="704" t="s">
        <v>572</v>
      </c>
      <c r="C31" s="436" t="s">
        <v>581</v>
      </c>
      <c r="D31" s="690"/>
      <c r="E31" s="691">
        <f aca="true" t="shared" si="1" ref="E31:J31">E27</f>
        <v>169</v>
      </c>
      <c r="F31" s="691">
        <f t="shared" si="1"/>
        <v>159</v>
      </c>
      <c r="G31" s="691">
        <f t="shared" si="1"/>
        <v>162</v>
      </c>
      <c r="H31" s="691">
        <f t="shared" si="1"/>
        <v>164</v>
      </c>
      <c r="I31" s="691">
        <f t="shared" si="1"/>
        <v>166</v>
      </c>
      <c r="J31" s="691">
        <f t="shared" si="1"/>
        <v>169</v>
      </c>
    </row>
    <row r="32" spans="1:10" s="698" customFormat="1" ht="23.25" customHeight="1">
      <c r="A32" s="701">
        <v>3</v>
      </c>
      <c r="B32" s="702" t="s">
        <v>573</v>
      </c>
      <c r="C32" s="436" t="s">
        <v>579</v>
      </c>
      <c r="D32" s="690"/>
      <c r="E32" s="764">
        <v>0</v>
      </c>
      <c r="F32" s="764">
        <v>0</v>
      </c>
      <c r="G32" s="764">
        <v>0</v>
      </c>
      <c r="H32" s="764">
        <v>0</v>
      </c>
      <c r="I32" s="764">
        <v>0</v>
      </c>
      <c r="J32" s="764">
        <v>0</v>
      </c>
    </row>
    <row r="33" spans="1:10" s="698" customFormat="1" ht="23.25" customHeight="1">
      <c r="A33" s="705"/>
      <c r="B33" s="704" t="s">
        <v>580</v>
      </c>
      <c r="C33" s="497" t="s">
        <v>5</v>
      </c>
      <c r="D33" s="690"/>
      <c r="E33" s="764">
        <v>0</v>
      </c>
      <c r="F33" s="764">
        <v>0</v>
      </c>
      <c r="G33" s="764">
        <v>0</v>
      </c>
      <c r="H33" s="764">
        <v>0</v>
      </c>
      <c r="I33" s="764">
        <v>0</v>
      </c>
      <c r="J33" s="764">
        <v>0</v>
      </c>
    </row>
    <row r="34" spans="1:10" s="698" customFormat="1" ht="53.25" customHeight="1">
      <c r="A34" s="699">
        <v>4</v>
      </c>
      <c r="B34" s="700" t="s">
        <v>574</v>
      </c>
      <c r="C34" s="436" t="s">
        <v>409</v>
      </c>
      <c r="D34" s="690"/>
      <c r="E34" s="691">
        <v>20</v>
      </c>
      <c r="F34" s="691">
        <v>20</v>
      </c>
      <c r="G34" s="691">
        <v>20</v>
      </c>
      <c r="H34" s="691">
        <v>20</v>
      </c>
      <c r="I34" s="691">
        <v>20</v>
      </c>
      <c r="J34" s="691">
        <v>20</v>
      </c>
    </row>
    <row r="35" spans="1:10" s="698" customFormat="1" ht="53.25" customHeight="1">
      <c r="A35" s="699">
        <v>5</v>
      </c>
      <c r="B35" s="700" t="s">
        <v>575</v>
      </c>
      <c r="C35" s="436" t="s">
        <v>362</v>
      </c>
      <c r="D35" s="690"/>
      <c r="E35" s="691">
        <v>19</v>
      </c>
      <c r="F35" s="691">
        <v>19</v>
      </c>
      <c r="G35" s="691">
        <v>19</v>
      </c>
      <c r="H35" s="691">
        <v>19</v>
      </c>
      <c r="I35" s="691">
        <v>19</v>
      </c>
      <c r="J35" s="691">
        <v>19</v>
      </c>
    </row>
    <row r="36" spans="1:10" s="698" customFormat="1" ht="34.5" customHeight="1">
      <c r="A36" s="699">
        <v>6</v>
      </c>
      <c r="B36" s="700" t="s">
        <v>576</v>
      </c>
      <c r="C36" s="436" t="s">
        <v>362</v>
      </c>
      <c r="D36" s="690"/>
      <c r="E36" s="691">
        <v>14</v>
      </c>
      <c r="F36" s="691">
        <v>12</v>
      </c>
      <c r="G36" s="691">
        <v>13</v>
      </c>
      <c r="H36" s="691">
        <v>13</v>
      </c>
      <c r="I36" s="691">
        <v>14</v>
      </c>
      <c r="J36" s="691">
        <v>14</v>
      </c>
    </row>
    <row r="37" spans="1:10" s="698" customFormat="1" ht="36.75" customHeight="1">
      <c r="A37" s="705"/>
      <c r="B37" s="706" t="s">
        <v>577</v>
      </c>
      <c r="C37" s="497" t="s">
        <v>5</v>
      </c>
      <c r="D37" s="690"/>
      <c r="E37" s="695">
        <f aca="true" t="shared" si="2" ref="E37:J37">E36/19*100</f>
        <v>73.68421052631578</v>
      </c>
      <c r="F37" s="695">
        <f t="shared" si="2"/>
        <v>63.1578947368421</v>
      </c>
      <c r="G37" s="695">
        <f t="shared" si="2"/>
        <v>68.42105263157895</v>
      </c>
      <c r="H37" s="695">
        <f t="shared" si="2"/>
        <v>68.42105263157895</v>
      </c>
      <c r="I37" s="695">
        <f t="shared" si="2"/>
        <v>73.68421052631578</v>
      </c>
      <c r="J37" s="695">
        <f t="shared" si="2"/>
        <v>73.68421052631578</v>
      </c>
    </row>
    <row r="38" spans="1:10" s="393" customFormat="1" ht="23.25" customHeight="1">
      <c r="A38" s="437" t="s">
        <v>492</v>
      </c>
      <c r="B38" s="503" t="s">
        <v>423</v>
      </c>
      <c r="C38" s="435"/>
      <c r="D38" s="690"/>
      <c r="E38" s="761"/>
      <c r="F38" s="761"/>
      <c r="G38" s="761"/>
      <c r="H38" s="761"/>
      <c r="I38" s="761"/>
      <c r="J38" s="761"/>
    </row>
    <row r="39" spans="1:10" ht="38.25" customHeight="1">
      <c r="A39" s="434">
        <v>1</v>
      </c>
      <c r="B39" s="689" t="s">
        <v>424</v>
      </c>
      <c r="C39" s="436" t="s">
        <v>425</v>
      </c>
      <c r="D39" s="873">
        <v>28.333333333333336</v>
      </c>
      <c r="E39" s="881">
        <v>27.83505154639175</v>
      </c>
      <c r="F39" s="882">
        <v>26.2</v>
      </c>
      <c r="G39" s="882">
        <v>28.556034482758623</v>
      </c>
      <c r="H39" s="882">
        <v>28.131634819532906</v>
      </c>
      <c r="I39" s="882">
        <v>28.242677824267783</v>
      </c>
      <c r="J39" s="882">
        <v>27.83505154639175</v>
      </c>
    </row>
    <row r="40" spans="1:10" ht="23.25" customHeight="1">
      <c r="A40" s="434"/>
      <c r="B40" s="883" t="s">
        <v>426</v>
      </c>
      <c r="C40" s="694" t="s">
        <v>425</v>
      </c>
      <c r="D40" s="873">
        <v>28.333333333333336</v>
      </c>
      <c r="E40" s="881">
        <v>27.83505154639175</v>
      </c>
      <c r="F40" s="880">
        <v>26.2</v>
      </c>
      <c r="G40" s="880">
        <v>28.556034482758623</v>
      </c>
      <c r="H40" s="880">
        <v>28.131634819532906</v>
      </c>
      <c r="I40" s="880">
        <v>28.242677824267783</v>
      </c>
      <c r="J40" s="880">
        <v>27.83505154639175</v>
      </c>
    </row>
    <row r="41" spans="1:10" ht="23.25" customHeight="1">
      <c r="A41" s="434"/>
      <c r="B41" s="883" t="s">
        <v>427</v>
      </c>
      <c r="C41" s="694" t="s">
        <v>425</v>
      </c>
      <c r="D41" s="872"/>
      <c r="E41" s="876"/>
      <c r="F41" s="876"/>
      <c r="G41" s="876"/>
      <c r="H41" s="876"/>
      <c r="I41" s="876"/>
      <c r="J41" s="876"/>
    </row>
    <row r="42" spans="1:10" ht="23.25" customHeight="1">
      <c r="A42" s="434">
        <v>2</v>
      </c>
      <c r="B42" s="884" t="s">
        <v>428</v>
      </c>
      <c r="C42" s="436" t="s">
        <v>429</v>
      </c>
      <c r="D42" s="873">
        <v>7.7</v>
      </c>
      <c r="E42" s="876">
        <v>8</v>
      </c>
      <c r="F42" s="880">
        <v>7.7</v>
      </c>
      <c r="G42" s="880">
        <v>7.8</v>
      </c>
      <c r="H42" s="880">
        <v>7.9</v>
      </c>
      <c r="I42" s="876">
        <v>8</v>
      </c>
      <c r="J42" s="876">
        <v>8</v>
      </c>
    </row>
    <row r="43" spans="1:10" ht="38.25" customHeight="1">
      <c r="A43" s="434">
        <v>3</v>
      </c>
      <c r="B43" s="689" t="s">
        <v>473</v>
      </c>
      <c r="C43" s="436" t="s">
        <v>474</v>
      </c>
      <c r="D43" s="873">
        <v>60.4</v>
      </c>
      <c r="E43" s="881" t="s">
        <v>643</v>
      </c>
      <c r="F43" s="882">
        <v>68</v>
      </c>
      <c r="G43" s="882">
        <v>60</v>
      </c>
      <c r="H43" s="882">
        <v>57</v>
      </c>
      <c r="I43" s="882">
        <v>55</v>
      </c>
      <c r="J43" s="882" t="s">
        <v>643</v>
      </c>
    </row>
    <row r="44" spans="1:10" ht="23.25" customHeight="1">
      <c r="A44" s="434">
        <v>4</v>
      </c>
      <c r="B44" s="884" t="s">
        <v>430</v>
      </c>
      <c r="C44" s="436" t="s">
        <v>578</v>
      </c>
      <c r="D44" s="873">
        <v>23</v>
      </c>
      <c r="E44" s="885" t="s">
        <v>584</v>
      </c>
      <c r="F44" s="879">
        <v>21.3</v>
      </c>
      <c r="G44" s="879">
        <v>19.6</v>
      </c>
      <c r="H44" s="879">
        <v>17.9</v>
      </c>
      <c r="I44" s="879">
        <v>16.2</v>
      </c>
      <c r="J44" s="879">
        <v>14.9</v>
      </c>
    </row>
    <row r="45" spans="1:10" ht="23.25" customHeight="1">
      <c r="A45" s="434">
        <v>5</v>
      </c>
      <c r="B45" s="884" t="s">
        <v>431</v>
      </c>
      <c r="C45" s="436" t="s">
        <v>578</v>
      </c>
      <c r="D45" s="872">
        <v>29</v>
      </c>
      <c r="E45" s="879">
        <v>18.5</v>
      </c>
      <c r="F45" s="879">
        <v>28.5</v>
      </c>
      <c r="G45" s="879">
        <v>26</v>
      </c>
      <c r="H45" s="879">
        <v>24</v>
      </c>
      <c r="I45" s="879">
        <v>22</v>
      </c>
      <c r="J45" s="879">
        <v>18.5</v>
      </c>
    </row>
    <row r="46" spans="1:10" ht="38.25" customHeight="1">
      <c r="A46" s="434">
        <v>6</v>
      </c>
      <c r="B46" s="689" t="s">
        <v>432</v>
      </c>
      <c r="C46" s="436" t="s">
        <v>303</v>
      </c>
      <c r="D46" s="873">
        <v>15.3</v>
      </c>
      <c r="E46" s="881" t="s">
        <v>644</v>
      </c>
      <c r="F46" s="882">
        <v>15</v>
      </c>
      <c r="G46" s="882">
        <v>14.5</v>
      </c>
      <c r="H46" s="882">
        <v>14.3</v>
      </c>
      <c r="I46" s="882">
        <v>14</v>
      </c>
      <c r="J46" s="882">
        <v>13.8</v>
      </c>
    </row>
    <row r="47" spans="1:10" ht="50.25" customHeight="1">
      <c r="A47" s="434">
        <v>7</v>
      </c>
      <c r="B47" s="689" t="s">
        <v>583</v>
      </c>
      <c r="C47" s="436" t="s">
        <v>303</v>
      </c>
      <c r="D47" s="873">
        <v>31.8</v>
      </c>
      <c r="E47" s="881" t="s">
        <v>678</v>
      </c>
      <c r="F47" s="882">
        <v>31.5</v>
      </c>
      <c r="G47" s="882">
        <v>31</v>
      </c>
      <c r="H47" s="882">
        <v>30.5</v>
      </c>
      <c r="I47" s="882">
        <v>30</v>
      </c>
      <c r="J47" s="882">
        <v>29.8</v>
      </c>
    </row>
    <row r="48" spans="1:10" ht="38.25" customHeight="1">
      <c r="A48" s="434">
        <v>8</v>
      </c>
      <c r="B48" s="689" t="s">
        <v>475</v>
      </c>
      <c r="C48" s="436" t="s">
        <v>303</v>
      </c>
      <c r="D48" s="873">
        <v>73.6</v>
      </c>
      <c r="E48" s="881">
        <v>95</v>
      </c>
      <c r="F48" s="882">
        <v>84.2</v>
      </c>
      <c r="G48" s="882">
        <v>89.5</v>
      </c>
      <c r="H48" s="882">
        <v>89.5</v>
      </c>
      <c r="I48" s="882">
        <v>89.5</v>
      </c>
      <c r="J48" s="882">
        <v>95</v>
      </c>
    </row>
    <row r="49" spans="1:10" ht="38.25" customHeight="1">
      <c r="A49" s="434">
        <v>9</v>
      </c>
      <c r="B49" s="689" t="s">
        <v>433</v>
      </c>
      <c r="C49" s="436" t="s">
        <v>303</v>
      </c>
      <c r="D49" s="873">
        <v>95</v>
      </c>
      <c r="E49" s="881" t="s">
        <v>679</v>
      </c>
      <c r="F49" s="882" t="s">
        <v>585</v>
      </c>
      <c r="G49" s="882" t="s">
        <v>585</v>
      </c>
      <c r="H49" s="882" t="s">
        <v>680</v>
      </c>
      <c r="I49" s="882" t="s">
        <v>680</v>
      </c>
      <c r="J49" s="882" t="s">
        <v>679</v>
      </c>
    </row>
    <row r="50" spans="1:10" ht="38.25" customHeight="1">
      <c r="A50" s="434">
        <v>10</v>
      </c>
      <c r="B50" s="689" t="s">
        <v>646</v>
      </c>
      <c r="C50" s="436" t="s">
        <v>303</v>
      </c>
      <c r="D50" s="873">
        <v>100</v>
      </c>
      <c r="E50" s="881">
        <v>100</v>
      </c>
      <c r="F50" s="882">
        <v>100</v>
      </c>
      <c r="G50" s="882">
        <v>100</v>
      </c>
      <c r="H50" s="882">
        <v>100</v>
      </c>
      <c r="I50" s="882">
        <v>100</v>
      </c>
      <c r="J50" s="882">
        <v>100</v>
      </c>
    </row>
    <row r="51" spans="1:10" ht="23.25" customHeight="1">
      <c r="A51" s="434">
        <v>11</v>
      </c>
      <c r="B51" s="504" t="s">
        <v>434</v>
      </c>
      <c r="C51" s="436" t="s">
        <v>303</v>
      </c>
      <c r="D51" s="872">
        <v>98</v>
      </c>
      <c r="E51" s="886" t="s">
        <v>681</v>
      </c>
      <c r="F51" s="886" t="s">
        <v>681</v>
      </c>
      <c r="G51" s="886" t="s">
        <v>681</v>
      </c>
      <c r="H51" s="886" t="s">
        <v>681</v>
      </c>
      <c r="I51" s="886" t="s">
        <v>681</v>
      </c>
      <c r="J51" s="886" t="s">
        <v>681</v>
      </c>
    </row>
    <row r="52" spans="1:10" s="393" customFormat="1" ht="23.25" customHeight="1">
      <c r="A52" s="437" t="s">
        <v>674</v>
      </c>
      <c r="B52" s="503" t="s">
        <v>567</v>
      </c>
      <c r="C52" s="435"/>
      <c r="D52" s="690"/>
      <c r="E52" s="765"/>
      <c r="F52" s="766"/>
      <c r="G52" s="767"/>
      <c r="H52" s="767"/>
      <c r="I52" s="767"/>
      <c r="J52" s="768"/>
    </row>
    <row r="53" spans="1:10" s="393" customFormat="1" ht="36" customHeight="1">
      <c r="A53" s="437" t="s">
        <v>101</v>
      </c>
      <c r="B53" s="503" t="s">
        <v>513</v>
      </c>
      <c r="C53" s="502" t="s">
        <v>697</v>
      </c>
      <c r="D53" s="690"/>
      <c r="E53" s="765"/>
      <c r="F53" s="766"/>
      <c r="G53" s="767"/>
      <c r="H53" s="767"/>
      <c r="I53" s="767"/>
      <c r="J53" s="768"/>
    </row>
    <row r="54" spans="1:10" ht="23.25" customHeight="1">
      <c r="A54" s="685">
        <v>1</v>
      </c>
      <c r="B54" s="686" t="s">
        <v>510</v>
      </c>
      <c r="C54" s="657" t="s">
        <v>697</v>
      </c>
      <c r="D54" s="690"/>
      <c r="E54" s="707"/>
      <c r="F54" s="769"/>
      <c r="G54" s="707"/>
      <c r="H54" s="707"/>
      <c r="I54" s="769"/>
      <c r="J54" s="707"/>
    </row>
    <row r="55" spans="1:10" ht="23.25" customHeight="1">
      <c r="A55" s="657">
        <v>2</v>
      </c>
      <c r="B55" s="686" t="s">
        <v>364</v>
      </c>
      <c r="C55" s="657" t="s">
        <v>697</v>
      </c>
      <c r="D55" s="690"/>
      <c r="E55" s="707"/>
      <c r="F55" s="769"/>
      <c r="G55" s="707"/>
      <c r="H55" s="707"/>
      <c r="I55" s="769"/>
      <c r="J55" s="707"/>
    </row>
    <row r="56" spans="1:10" ht="23.25" customHeight="1">
      <c r="A56" s="685">
        <v>3</v>
      </c>
      <c r="B56" s="686" t="s">
        <v>511</v>
      </c>
      <c r="C56" s="657" t="s">
        <v>697</v>
      </c>
      <c r="D56" s="690"/>
      <c r="E56" s="707"/>
      <c r="F56" s="769"/>
      <c r="G56" s="707"/>
      <c r="H56" s="707"/>
      <c r="I56" s="769"/>
      <c r="J56" s="707"/>
    </row>
    <row r="57" spans="1:10" ht="37.5" customHeight="1">
      <c r="A57" s="687" t="s">
        <v>102</v>
      </c>
      <c r="B57" s="688" t="s">
        <v>649</v>
      </c>
      <c r="C57" s="688"/>
      <c r="D57" s="690"/>
      <c r="E57" s="688"/>
      <c r="F57" s="688"/>
      <c r="G57" s="688"/>
      <c r="H57" s="688"/>
      <c r="I57" s="688"/>
      <c r="J57" s="688"/>
    </row>
    <row r="58" spans="1:10" ht="23.25" customHeight="1">
      <c r="A58" s="685">
        <v>1</v>
      </c>
      <c r="B58" s="686" t="s">
        <v>510</v>
      </c>
      <c r="C58" s="657" t="s">
        <v>5</v>
      </c>
      <c r="D58" s="690"/>
      <c r="E58" s="707"/>
      <c r="F58" s="769"/>
      <c r="G58" s="707"/>
      <c r="H58" s="707"/>
      <c r="I58" s="769"/>
      <c r="J58" s="707"/>
    </row>
    <row r="59" spans="1:10" ht="23.25" customHeight="1">
      <c r="A59" s="657">
        <v>2</v>
      </c>
      <c r="B59" s="686" t="s">
        <v>364</v>
      </c>
      <c r="C59" s="657" t="s">
        <v>5</v>
      </c>
      <c r="D59" s="690"/>
      <c r="E59" s="707"/>
      <c r="F59" s="769"/>
      <c r="G59" s="707"/>
      <c r="H59" s="707"/>
      <c r="I59" s="769"/>
      <c r="J59" s="707"/>
    </row>
    <row r="60" spans="1:10" ht="23.25" customHeight="1">
      <c r="A60" s="685">
        <v>3</v>
      </c>
      <c r="B60" s="686" t="s">
        <v>511</v>
      </c>
      <c r="C60" s="657" t="s">
        <v>5</v>
      </c>
      <c r="D60" s="690"/>
      <c r="E60" s="707"/>
      <c r="F60" s="769"/>
      <c r="G60" s="707"/>
      <c r="H60" s="707"/>
      <c r="I60" s="769"/>
      <c r="J60" s="707"/>
    </row>
    <row r="61" spans="1:10" ht="16.5">
      <c r="A61" s="398"/>
      <c r="B61" s="399"/>
      <c r="C61" s="385"/>
      <c r="D61" s="385"/>
      <c r="E61" s="385"/>
      <c r="F61" s="386"/>
      <c r="G61" s="386"/>
      <c r="H61" s="386"/>
      <c r="I61" s="386"/>
      <c r="J61" s="386"/>
    </row>
    <row r="62" spans="1:10" ht="16.5">
      <c r="A62" s="398"/>
      <c r="B62" s="399"/>
      <c r="C62" s="385"/>
      <c r="D62" s="385"/>
      <c r="E62" s="385"/>
      <c r="F62" s="386"/>
      <c r="G62" s="386"/>
      <c r="H62" s="386"/>
      <c r="I62" s="386"/>
      <c r="J62" s="386"/>
    </row>
    <row r="63" spans="1:10" ht="16.5">
      <c r="A63" s="398"/>
      <c r="B63" s="399"/>
      <c r="C63" s="385"/>
      <c r="D63" s="385"/>
      <c r="E63" s="385"/>
      <c r="F63" s="386"/>
      <c r="G63" s="386"/>
      <c r="H63" s="386"/>
      <c r="I63" s="386"/>
      <c r="J63" s="386"/>
    </row>
    <row r="64" spans="1:10" ht="16.5">
      <c r="A64" s="398"/>
      <c r="B64" s="399"/>
      <c r="C64" s="385"/>
      <c r="D64" s="385"/>
      <c r="E64" s="385"/>
      <c r="F64" s="386"/>
      <c r="G64" s="386"/>
      <c r="H64" s="386"/>
      <c r="I64" s="386"/>
      <c r="J64" s="386"/>
    </row>
    <row r="65" spans="1:10" ht="16.5">
      <c r="A65" s="398"/>
      <c r="B65" s="399"/>
      <c r="C65" s="385"/>
      <c r="D65" s="385"/>
      <c r="E65" s="385"/>
      <c r="F65" s="386"/>
      <c r="G65" s="386"/>
      <c r="H65" s="386"/>
      <c r="I65" s="386"/>
      <c r="J65" s="386"/>
    </row>
    <row r="66" spans="1:10" ht="16.5">
      <c r="A66" s="398"/>
      <c r="B66" s="399"/>
      <c r="C66" s="385"/>
      <c r="D66" s="385"/>
      <c r="E66" s="385"/>
      <c r="F66" s="386"/>
      <c r="G66" s="386"/>
      <c r="H66" s="386"/>
      <c r="I66" s="386"/>
      <c r="J66" s="386"/>
    </row>
    <row r="67" spans="1:10" ht="16.5">
      <c r="A67" s="398"/>
      <c r="B67" s="399"/>
      <c r="C67" s="385"/>
      <c r="D67" s="385"/>
      <c r="E67" s="385"/>
      <c r="F67" s="386"/>
      <c r="G67" s="386"/>
      <c r="H67" s="386"/>
      <c r="I67" s="386"/>
      <c r="J67" s="386"/>
    </row>
    <row r="68" spans="1:10" ht="16.5">
      <c r="A68" s="398"/>
      <c r="B68" s="399"/>
      <c r="C68" s="385"/>
      <c r="D68" s="385"/>
      <c r="E68" s="385"/>
      <c r="F68" s="386"/>
      <c r="G68" s="386"/>
      <c r="H68" s="386"/>
      <c r="I68" s="386"/>
      <c r="J68" s="386"/>
    </row>
    <row r="69" spans="1:10" ht="16.5">
      <c r="A69" s="398"/>
      <c r="B69" s="399"/>
      <c r="C69" s="385"/>
      <c r="D69" s="385"/>
      <c r="E69" s="385"/>
      <c r="F69" s="386"/>
      <c r="G69" s="386"/>
      <c r="H69" s="386"/>
      <c r="I69" s="386"/>
      <c r="J69" s="386"/>
    </row>
    <row r="70" spans="1:10" ht="16.5">
      <c r="A70" s="398"/>
      <c r="B70" s="399"/>
      <c r="C70" s="385"/>
      <c r="D70" s="385"/>
      <c r="E70" s="385"/>
      <c r="F70" s="386"/>
      <c r="G70" s="386"/>
      <c r="H70" s="386"/>
      <c r="I70" s="386"/>
      <c r="J70" s="386"/>
    </row>
    <row r="71" spans="1:10" ht="16.5">
      <c r="A71" s="398"/>
      <c r="B71" s="399"/>
      <c r="C71" s="385"/>
      <c r="D71" s="385"/>
      <c r="E71" s="385"/>
      <c r="F71" s="386"/>
      <c r="G71" s="386"/>
      <c r="H71" s="386"/>
      <c r="I71" s="386"/>
      <c r="J71" s="386"/>
    </row>
    <row r="72" spans="1:10" ht="16.5">
      <c r="A72" s="398"/>
      <c r="B72" s="399"/>
      <c r="C72" s="385"/>
      <c r="D72" s="385"/>
      <c r="E72" s="385"/>
      <c r="F72" s="386"/>
      <c r="G72" s="386"/>
      <c r="H72" s="386"/>
      <c r="I72" s="386"/>
      <c r="J72" s="386"/>
    </row>
    <row r="73" spans="1:10" ht="16.5">
      <c r="A73" s="398"/>
      <c r="B73" s="399"/>
      <c r="C73" s="385"/>
      <c r="D73" s="385"/>
      <c r="E73" s="385"/>
      <c r="F73" s="386"/>
      <c r="G73" s="386"/>
      <c r="H73" s="386"/>
      <c r="I73" s="386"/>
      <c r="J73" s="386"/>
    </row>
    <row r="74" spans="1:10" ht="16.5">
      <c r="A74" s="398"/>
      <c r="B74" s="399"/>
      <c r="C74" s="385"/>
      <c r="D74" s="385"/>
      <c r="E74" s="385"/>
      <c r="F74" s="386"/>
      <c r="G74" s="386"/>
      <c r="H74" s="386"/>
      <c r="I74" s="386"/>
      <c r="J74" s="386"/>
    </row>
    <row r="75" spans="1:10" ht="16.5">
      <c r="A75" s="398"/>
      <c r="B75" s="399"/>
      <c r="C75" s="385"/>
      <c r="D75" s="385"/>
      <c r="E75" s="385"/>
      <c r="F75" s="386"/>
      <c r="G75" s="386"/>
      <c r="H75" s="386"/>
      <c r="I75" s="386"/>
      <c r="J75" s="386"/>
    </row>
    <row r="76" spans="1:10" ht="16.5">
      <c r="A76" s="398"/>
      <c r="B76" s="399"/>
      <c r="C76" s="385"/>
      <c r="D76" s="385"/>
      <c r="E76" s="385"/>
      <c r="F76" s="386"/>
      <c r="G76" s="386"/>
      <c r="H76" s="386"/>
      <c r="I76" s="386"/>
      <c r="J76" s="386"/>
    </row>
    <row r="77" spans="1:10" ht="16.5">
      <c r="A77" s="398"/>
      <c r="B77" s="399"/>
      <c r="C77" s="385"/>
      <c r="D77" s="385"/>
      <c r="E77" s="385"/>
      <c r="F77" s="386"/>
      <c r="G77" s="386"/>
      <c r="H77" s="386"/>
      <c r="I77" s="386"/>
      <c r="J77" s="386"/>
    </row>
    <row r="78" spans="1:10" ht="16.5">
      <c r="A78" s="398"/>
      <c r="B78" s="399"/>
      <c r="C78" s="385"/>
      <c r="D78" s="385"/>
      <c r="E78" s="385"/>
      <c r="F78" s="386"/>
      <c r="G78" s="386"/>
      <c r="H78" s="386"/>
      <c r="I78" s="386"/>
      <c r="J78" s="386"/>
    </row>
    <row r="79" spans="1:10" ht="16.5">
      <c r="A79" s="398"/>
      <c r="B79" s="399"/>
      <c r="C79" s="385"/>
      <c r="D79" s="385"/>
      <c r="E79" s="385"/>
      <c r="F79" s="386"/>
      <c r="G79" s="386"/>
      <c r="H79" s="386"/>
      <c r="I79" s="386"/>
      <c r="J79" s="386"/>
    </row>
    <row r="80" spans="1:10" ht="16.5">
      <c r="A80" s="398"/>
      <c r="B80" s="399"/>
      <c r="C80" s="385"/>
      <c r="D80" s="385"/>
      <c r="E80" s="385"/>
      <c r="F80" s="386"/>
      <c r="G80" s="386"/>
      <c r="H80" s="386"/>
      <c r="I80" s="386"/>
      <c r="J80" s="386"/>
    </row>
    <row r="81" spans="1:10" ht="16.5">
      <c r="A81" s="398"/>
      <c r="B81" s="399"/>
      <c r="C81" s="385"/>
      <c r="D81" s="385"/>
      <c r="E81" s="385"/>
      <c r="F81" s="386"/>
      <c r="G81" s="386"/>
      <c r="H81" s="386"/>
      <c r="I81" s="386"/>
      <c r="J81" s="386"/>
    </row>
    <row r="82" spans="1:10" ht="16.5">
      <c r="A82" s="398"/>
      <c r="B82" s="399"/>
      <c r="C82" s="385"/>
      <c r="D82" s="385"/>
      <c r="E82" s="385"/>
      <c r="F82" s="386"/>
      <c r="G82" s="386"/>
      <c r="H82" s="386"/>
      <c r="I82" s="386"/>
      <c r="J82" s="386"/>
    </row>
    <row r="83" spans="1:10" ht="16.5">
      <c r="A83" s="398"/>
      <c r="B83" s="399"/>
      <c r="C83" s="385"/>
      <c r="D83" s="385"/>
      <c r="E83" s="385"/>
      <c r="F83" s="386"/>
      <c r="G83" s="386"/>
      <c r="H83" s="386"/>
      <c r="I83" s="386"/>
      <c r="J83" s="386"/>
    </row>
    <row r="84" spans="1:10" ht="16.5">
      <c r="A84" s="398"/>
      <c r="B84" s="399"/>
      <c r="C84" s="385"/>
      <c r="D84" s="385"/>
      <c r="E84" s="385"/>
      <c r="F84" s="386"/>
      <c r="G84" s="386"/>
      <c r="H84" s="386"/>
      <c r="I84" s="386"/>
      <c r="J84" s="386"/>
    </row>
    <row r="85" spans="1:10" ht="16.5">
      <c r="A85" s="398"/>
      <c r="B85" s="399"/>
      <c r="C85" s="385"/>
      <c r="D85" s="385"/>
      <c r="E85" s="385"/>
      <c r="F85" s="386"/>
      <c r="G85" s="386"/>
      <c r="H85" s="386"/>
      <c r="I85" s="386"/>
      <c r="J85" s="386"/>
    </row>
    <row r="86" spans="1:10" ht="16.5">
      <c r="A86" s="398"/>
      <c r="B86" s="399"/>
      <c r="C86" s="385"/>
      <c r="D86" s="385"/>
      <c r="E86" s="385"/>
      <c r="F86" s="386"/>
      <c r="G86" s="386"/>
      <c r="H86" s="386"/>
      <c r="I86" s="386"/>
      <c r="J86" s="386"/>
    </row>
    <row r="87" spans="1:10" ht="16.5">
      <c r="A87" s="398"/>
      <c r="B87" s="399"/>
      <c r="C87" s="385"/>
      <c r="D87" s="385"/>
      <c r="E87" s="385"/>
      <c r="F87" s="386"/>
      <c r="G87" s="386"/>
      <c r="H87" s="386"/>
      <c r="I87" s="386"/>
      <c r="J87" s="386"/>
    </row>
    <row r="88" spans="1:10" ht="16.5">
      <c r="A88" s="398"/>
      <c r="B88" s="399"/>
      <c r="C88" s="385"/>
      <c r="D88" s="385"/>
      <c r="E88" s="385"/>
      <c r="F88" s="386"/>
      <c r="G88" s="386"/>
      <c r="H88" s="386"/>
      <c r="I88" s="386"/>
      <c r="J88" s="386"/>
    </row>
    <row r="89" spans="1:10" ht="16.5">
      <c r="A89" s="398"/>
      <c r="B89" s="399"/>
      <c r="C89" s="385"/>
      <c r="D89" s="385"/>
      <c r="E89" s="385"/>
      <c r="F89" s="386"/>
      <c r="G89" s="386"/>
      <c r="H89" s="386"/>
      <c r="I89" s="386"/>
      <c r="J89" s="386"/>
    </row>
    <row r="90" spans="1:10" ht="16.5">
      <c r="A90" s="398"/>
      <c r="B90" s="399"/>
      <c r="C90" s="385"/>
      <c r="D90" s="385"/>
      <c r="E90" s="385"/>
      <c r="F90" s="386"/>
      <c r="G90" s="386"/>
      <c r="H90" s="386"/>
      <c r="I90" s="386"/>
      <c r="J90" s="386"/>
    </row>
    <row r="91" spans="1:10" ht="16.5">
      <c r="A91" s="398"/>
      <c r="B91" s="399"/>
      <c r="C91" s="385"/>
      <c r="D91" s="385"/>
      <c r="E91" s="385"/>
      <c r="F91" s="386"/>
      <c r="G91" s="386"/>
      <c r="H91" s="386"/>
      <c r="I91" s="386"/>
      <c r="J91" s="386"/>
    </row>
    <row r="92" spans="1:10" ht="16.5">
      <c r="A92" s="398"/>
      <c r="B92" s="399"/>
      <c r="C92" s="385"/>
      <c r="D92" s="385"/>
      <c r="E92" s="385"/>
      <c r="F92" s="386"/>
      <c r="G92" s="386"/>
      <c r="H92" s="386"/>
      <c r="I92" s="386"/>
      <c r="J92" s="386"/>
    </row>
    <row r="93" spans="1:10" ht="16.5">
      <c r="A93" s="398"/>
      <c r="B93" s="399"/>
      <c r="C93" s="385"/>
      <c r="D93" s="385"/>
      <c r="E93" s="385"/>
      <c r="F93" s="386"/>
      <c r="G93" s="386"/>
      <c r="H93" s="386"/>
      <c r="I93" s="386"/>
      <c r="J93" s="386"/>
    </row>
    <row r="94" spans="1:10" ht="16.5">
      <c r="A94" s="398"/>
      <c r="B94" s="399"/>
      <c r="C94" s="385"/>
      <c r="D94" s="385"/>
      <c r="E94" s="385"/>
      <c r="F94" s="386"/>
      <c r="G94" s="386"/>
      <c r="H94" s="386"/>
      <c r="I94" s="386"/>
      <c r="J94" s="386"/>
    </row>
    <row r="95" spans="1:10" ht="16.5">
      <c r="A95" s="398"/>
      <c r="B95" s="399"/>
      <c r="C95" s="385"/>
      <c r="D95" s="385"/>
      <c r="E95" s="385"/>
      <c r="F95" s="386"/>
      <c r="G95" s="386"/>
      <c r="H95" s="386"/>
      <c r="I95" s="386"/>
      <c r="J95" s="386"/>
    </row>
    <row r="96" spans="1:10" ht="16.5">
      <c r="A96" s="398"/>
      <c r="B96" s="399"/>
      <c r="C96" s="385"/>
      <c r="D96" s="385"/>
      <c r="E96" s="385"/>
      <c r="F96" s="386"/>
      <c r="G96" s="386"/>
      <c r="H96" s="386"/>
      <c r="I96" s="386"/>
      <c r="J96" s="386"/>
    </row>
    <row r="97" spans="1:10" ht="16.5">
      <c r="A97" s="398"/>
      <c r="B97" s="399"/>
      <c r="C97" s="385"/>
      <c r="D97" s="385"/>
      <c r="E97" s="385"/>
      <c r="F97" s="386"/>
      <c r="G97" s="386"/>
      <c r="H97" s="386"/>
      <c r="I97" s="386"/>
      <c r="J97" s="386"/>
    </row>
    <row r="98" spans="1:10" ht="16.5">
      <c r="A98" s="398"/>
      <c r="B98" s="399"/>
      <c r="C98" s="385"/>
      <c r="D98" s="385"/>
      <c r="E98" s="385"/>
      <c r="F98" s="386"/>
      <c r="G98" s="386"/>
      <c r="H98" s="386"/>
      <c r="I98" s="386"/>
      <c r="J98" s="386"/>
    </row>
    <row r="99" spans="1:10" ht="16.5">
      <c r="A99" s="398"/>
      <c r="B99" s="399"/>
      <c r="C99" s="385"/>
      <c r="D99" s="385"/>
      <c r="E99" s="385"/>
      <c r="F99" s="386"/>
      <c r="G99" s="386"/>
      <c r="H99" s="386"/>
      <c r="I99" s="386"/>
      <c r="J99" s="386"/>
    </row>
    <row r="100" spans="1:10" ht="16.5">
      <c r="A100" s="398"/>
      <c r="B100" s="399"/>
      <c r="C100" s="385"/>
      <c r="D100" s="385"/>
      <c r="E100" s="385"/>
      <c r="F100" s="386"/>
      <c r="G100" s="386"/>
      <c r="H100" s="386"/>
      <c r="I100" s="386"/>
      <c r="J100" s="386"/>
    </row>
    <row r="101" spans="1:10" ht="16.5">
      <c r="A101" s="398"/>
      <c r="B101" s="399"/>
      <c r="C101" s="385"/>
      <c r="D101" s="385"/>
      <c r="E101" s="385"/>
      <c r="F101" s="386"/>
      <c r="G101" s="386"/>
      <c r="H101" s="386"/>
      <c r="I101" s="386"/>
      <c r="J101" s="386"/>
    </row>
    <row r="102" spans="1:10" ht="16.5">
      <c r="A102" s="398"/>
      <c r="B102" s="399"/>
      <c r="C102" s="385"/>
      <c r="D102" s="385"/>
      <c r="E102" s="385"/>
      <c r="F102" s="386"/>
      <c r="G102" s="386"/>
      <c r="H102" s="386"/>
      <c r="I102" s="386"/>
      <c r="J102" s="386"/>
    </row>
    <row r="103" spans="1:10" ht="16.5">
      <c r="A103" s="398"/>
      <c r="B103" s="399"/>
      <c r="C103" s="385"/>
      <c r="D103" s="385"/>
      <c r="E103" s="385"/>
      <c r="F103" s="386"/>
      <c r="G103" s="386"/>
      <c r="H103" s="386"/>
      <c r="I103" s="386"/>
      <c r="J103" s="386"/>
    </row>
    <row r="104" spans="1:10" ht="16.5">
      <c r="A104" s="398"/>
      <c r="B104" s="399"/>
      <c r="C104" s="385"/>
      <c r="D104" s="385"/>
      <c r="E104" s="385"/>
      <c r="F104" s="386"/>
      <c r="G104" s="386"/>
      <c r="H104" s="386"/>
      <c r="I104" s="386"/>
      <c r="J104" s="386"/>
    </row>
    <row r="105" spans="1:10" ht="16.5">
      <c r="A105" s="398"/>
      <c r="B105" s="399"/>
      <c r="C105" s="385"/>
      <c r="D105" s="385"/>
      <c r="E105" s="385"/>
      <c r="F105" s="386"/>
      <c r="G105" s="386"/>
      <c r="H105" s="386"/>
      <c r="I105" s="386"/>
      <c r="J105" s="386"/>
    </row>
    <row r="106" spans="1:10" ht="16.5">
      <c r="A106" s="398"/>
      <c r="B106" s="399"/>
      <c r="C106" s="385"/>
      <c r="D106" s="385"/>
      <c r="E106" s="385"/>
      <c r="F106" s="386"/>
      <c r="G106" s="386"/>
      <c r="H106" s="386"/>
      <c r="I106" s="386"/>
      <c r="J106" s="386"/>
    </row>
    <row r="107" spans="1:10" ht="16.5">
      <c r="A107" s="398"/>
      <c r="B107" s="399"/>
      <c r="C107" s="385"/>
      <c r="D107" s="385"/>
      <c r="E107" s="385"/>
      <c r="F107" s="386"/>
      <c r="G107" s="386"/>
      <c r="H107" s="386"/>
      <c r="I107" s="386"/>
      <c r="J107" s="386"/>
    </row>
    <row r="108" spans="1:10" ht="16.5">
      <c r="A108" s="398"/>
      <c r="B108" s="399"/>
      <c r="C108" s="385"/>
      <c r="D108" s="385"/>
      <c r="E108" s="385"/>
      <c r="F108" s="386"/>
      <c r="G108" s="386"/>
      <c r="H108" s="386"/>
      <c r="I108" s="386"/>
      <c r="J108" s="386"/>
    </row>
    <row r="109" spans="1:10" ht="16.5">
      <c r="A109" s="398"/>
      <c r="B109" s="399"/>
      <c r="C109" s="385"/>
      <c r="D109" s="385"/>
      <c r="E109" s="385"/>
      <c r="F109" s="386"/>
      <c r="G109" s="386"/>
      <c r="H109" s="386"/>
      <c r="I109" s="386"/>
      <c r="J109" s="386"/>
    </row>
    <row r="110" spans="1:10" ht="16.5">
      <c r="A110" s="398"/>
      <c r="B110" s="399"/>
      <c r="C110" s="385"/>
      <c r="D110" s="385"/>
      <c r="E110" s="385"/>
      <c r="F110" s="386"/>
      <c r="G110" s="386"/>
      <c r="H110" s="386"/>
      <c r="I110" s="386"/>
      <c r="J110" s="386"/>
    </row>
    <row r="111" spans="1:10" ht="16.5">
      <c r="A111" s="398"/>
      <c r="B111" s="399"/>
      <c r="C111" s="385"/>
      <c r="D111" s="385"/>
      <c r="E111" s="385"/>
      <c r="F111" s="386"/>
      <c r="G111" s="386"/>
      <c r="H111" s="386"/>
      <c r="I111" s="386"/>
      <c r="J111" s="386"/>
    </row>
    <row r="112" spans="1:10" ht="16.5">
      <c r="A112" s="398"/>
      <c r="B112" s="399"/>
      <c r="C112" s="385"/>
      <c r="D112" s="385"/>
      <c r="E112" s="385"/>
      <c r="F112" s="386"/>
      <c r="G112" s="386"/>
      <c r="H112" s="386"/>
      <c r="I112" s="386"/>
      <c r="J112" s="386"/>
    </row>
    <row r="113" spans="1:10" ht="16.5">
      <c r="A113" s="398"/>
      <c r="B113" s="399"/>
      <c r="C113" s="385"/>
      <c r="D113" s="385"/>
      <c r="E113" s="385"/>
      <c r="F113" s="386"/>
      <c r="G113" s="386"/>
      <c r="H113" s="386"/>
      <c r="I113" s="386"/>
      <c r="J113" s="386"/>
    </row>
    <row r="114" spans="1:10" ht="16.5">
      <c r="A114" s="398"/>
      <c r="B114" s="399"/>
      <c r="C114" s="385"/>
      <c r="D114" s="385"/>
      <c r="E114" s="385"/>
      <c r="F114" s="386"/>
      <c r="G114" s="386"/>
      <c r="H114" s="386"/>
      <c r="I114" s="386"/>
      <c r="J114" s="386"/>
    </row>
    <row r="115" spans="1:10" ht="16.5">
      <c r="A115" s="398"/>
      <c r="B115" s="399"/>
      <c r="C115" s="385"/>
      <c r="D115" s="385"/>
      <c r="E115" s="385"/>
      <c r="F115" s="386"/>
      <c r="G115" s="386"/>
      <c r="H115" s="386"/>
      <c r="I115" s="386"/>
      <c r="J115" s="386"/>
    </row>
    <row r="116" spans="1:10" ht="16.5">
      <c r="A116" s="398"/>
      <c r="B116" s="399"/>
      <c r="C116" s="385"/>
      <c r="D116" s="385"/>
      <c r="E116" s="385"/>
      <c r="F116" s="386"/>
      <c r="G116" s="386"/>
      <c r="H116" s="386"/>
      <c r="I116" s="386"/>
      <c r="J116" s="386"/>
    </row>
    <row r="117" spans="1:10" ht="16.5">
      <c r="A117" s="398"/>
      <c r="B117" s="399"/>
      <c r="C117" s="385"/>
      <c r="D117" s="385"/>
      <c r="E117" s="385"/>
      <c r="F117" s="386"/>
      <c r="G117" s="386"/>
      <c r="H117" s="386"/>
      <c r="I117" s="386"/>
      <c r="J117" s="386"/>
    </row>
    <row r="118" spans="1:10" ht="16.5">
      <c r="A118" s="398"/>
      <c r="B118" s="399"/>
      <c r="C118" s="385"/>
      <c r="D118" s="385"/>
      <c r="E118" s="385"/>
      <c r="F118" s="386"/>
      <c r="G118" s="386"/>
      <c r="H118" s="386"/>
      <c r="I118" s="386"/>
      <c r="J118" s="386"/>
    </row>
    <row r="119" spans="1:10" ht="16.5">
      <c r="A119" s="398"/>
      <c r="B119" s="399"/>
      <c r="C119" s="385"/>
      <c r="D119" s="385"/>
      <c r="E119" s="385"/>
      <c r="F119" s="386"/>
      <c r="G119" s="386"/>
      <c r="H119" s="386"/>
      <c r="I119" s="386"/>
      <c r="J119" s="386"/>
    </row>
    <row r="120" spans="1:10" ht="16.5">
      <c r="A120" s="398"/>
      <c r="B120" s="399"/>
      <c r="C120" s="385"/>
      <c r="D120" s="385"/>
      <c r="E120" s="385"/>
      <c r="F120" s="386"/>
      <c r="G120" s="386"/>
      <c r="H120" s="386"/>
      <c r="I120" s="386"/>
      <c r="J120" s="386"/>
    </row>
    <row r="121" spans="1:10" ht="16.5">
      <c r="A121" s="398"/>
      <c r="B121" s="399"/>
      <c r="C121" s="385"/>
      <c r="D121" s="385"/>
      <c r="E121" s="385"/>
      <c r="F121" s="386"/>
      <c r="G121" s="386"/>
      <c r="H121" s="386"/>
      <c r="I121" s="386"/>
      <c r="J121" s="386"/>
    </row>
    <row r="122" spans="1:10" ht="16.5">
      <c r="A122" s="398"/>
      <c r="B122" s="399"/>
      <c r="C122" s="385"/>
      <c r="D122" s="385"/>
      <c r="E122" s="385"/>
      <c r="F122" s="386"/>
      <c r="G122" s="386"/>
      <c r="H122" s="386"/>
      <c r="I122" s="386"/>
      <c r="J122" s="386"/>
    </row>
    <row r="123" spans="1:10" ht="16.5">
      <c r="A123" s="398"/>
      <c r="B123" s="399"/>
      <c r="C123" s="385"/>
      <c r="D123" s="385"/>
      <c r="E123" s="385"/>
      <c r="F123" s="386"/>
      <c r="G123" s="386"/>
      <c r="H123" s="386"/>
      <c r="I123" s="386"/>
      <c r="J123" s="386"/>
    </row>
    <row r="124" spans="1:10" ht="16.5">
      <c r="A124" s="398"/>
      <c r="B124" s="399"/>
      <c r="C124" s="385"/>
      <c r="D124" s="385"/>
      <c r="E124" s="385"/>
      <c r="F124" s="386"/>
      <c r="G124" s="386"/>
      <c r="H124" s="386"/>
      <c r="I124" s="386"/>
      <c r="J124" s="386"/>
    </row>
    <row r="125" spans="1:10" ht="16.5">
      <c r="A125" s="398"/>
      <c r="B125" s="399"/>
      <c r="C125" s="385"/>
      <c r="D125" s="385"/>
      <c r="E125" s="385"/>
      <c r="F125" s="386"/>
      <c r="G125" s="386"/>
      <c r="H125" s="386"/>
      <c r="I125" s="386"/>
      <c r="J125" s="386"/>
    </row>
    <row r="126" spans="1:10" ht="16.5">
      <c r="A126" s="398"/>
      <c r="B126" s="399"/>
      <c r="C126" s="385"/>
      <c r="D126" s="385"/>
      <c r="E126" s="385"/>
      <c r="F126" s="386"/>
      <c r="G126" s="386"/>
      <c r="H126" s="386"/>
      <c r="I126" s="386"/>
      <c r="J126" s="386"/>
    </row>
    <row r="127" spans="1:10" ht="16.5">
      <c r="A127" s="398"/>
      <c r="B127" s="399"/>
      <c r="C127" s="385"/>
      <c r="D127" s="385"/>
      <c r="E127" s="385"/>
      <c r="F127" s="386"/>
      <c r="G127" s="386"/>
      <c r="H127" s="386"/>
      <c r="I127" s="386"/>
      <c r="J127" s="386"/>
    </row>
    <row r="128" spans="1:10" ht="16.5">
      <c r="A128" s="398"/>
      <c r="B128" s="399"/>
      <c r="C128" s="385"/>
      <c r="D128" s="385"/>
      <c r="E128" s="385"/>
      <c r="F128" s="386"/>
      <c r="G128" s="386"/>
      <c r="H128" s="386"/>
      <c r="I128" s="386"/>
      <c r="J128" s="386"/>
    </row>
    <row r="129" spans="1:10" ht="16.5">
      <c r="A129" s="398"/>
      <c r="B129" s="399"/>
      <c r="C129" s="385"/>
      <c r="D129" s="385"/>
      <c r="E129" s="385"/>
      <c r="F129" s="386"/>
      <c r="G129" s="386"/>
      <c r="H129" s="386"/>
      <c r="I129" s="386"/>
      <c r="J129" s="386"/>
    </row>
    <row r="130" spans="1:10" ht="16.5">
      <c r="A130" s="398"/>
      <c r="B130" s="399"/>
      <c r="C130" s="385"/>
      <c r="D130" s="385"/>
      <c r="E130" s="385"/>
      <c r="F130" s="386"/>
      <c r="G130" s="386"/>
      <c r="H130" s="386"/>
      <c r="I130" s="386"/>
      <c r="J130" s="386"/>
    </row>
    <row r="131" spans="1:10" ht="16.5">
      <c r="A131" s="398"/>
      <c r="B131" s="399"/>
      <c r="C131" s="385"/>
      <c r="D131" s="385"/>
      <c r="E131" s="385"/>
      <c r="F131" s="386"/>
      <c r="G131" s="386"/>
      <c r="H131" s="386"/>
      <c r="I131" s="386"/>
      <c r="J131" s="386"/>
    </row>
    <row r="132" spans="1:10" ht="16.5">
      <c r="A132" s="398"/>
      <c r="B132" s="399"/>
      <c r="C132" s="385"/>
      <c r="D132" s="385"/>
      <c r="E132" s="385"/>
      <c r="F132" s="386"/>
      <c r="G132" s="386"/>
      <c r="H132" s="386"/>
      <c r="I132" s="386"/>
      <c r="J132" s="386"/>
    </row>
    <row r="133" spans="1:10" ht="16.5">
      <c r="A133" s="398"/>
      <c r="B133" s="399"/>
      <c r="C133" s="385"/>
      <c r="D133" s="385"/>
      <c r="E133" s="385"/>
      <c r="F133" s="386"/>
      <c r="G133" s="386"/>
      <c r="H133" s="386"/>
      <c r="I133" s="386"/>
      <c r="J133" s="386"/>
    </row>
    <row r="134" spans="1:10" ht="16.5">
      <c r="A134" s="398"/>
      <c r="B134" s="399"/>
      <c r="C134" s="385"/>
      <c r="D134" s="385"/>
      <c r="E134" s="385"/>
      <c r="F134" s="386"/>
      <c r="G134" s="386"/>
      <c r="H134" s="386"/>
      <c r="I134" s="386"/>
      <c r="J134" s="386"/>
    </row>
    <row r="135" spans="1:10" ht="16.5">
      <c r="A135" s="398"/>
      <c r="B135" s="399"/>
      <c r="C135" s="385"/>
      <c r="D135" s="385"/>
      <c r="E135" s="385"/>
      <c r="F135" s="386"/>
      <c r="G135" s="386"/>
      <c r="H135" s="386"/>
      <c r="I135" s="386"/>
      <c r="J135" s="386"/>
    </row>
    <row r="136" spans="1:10" ht="16.5">
      <c r="A136" s="398"/>
      <c r="B136" s="399"/>
      <c r="C136" s="385"/>
      <c r="D136" s="385"/>
      <c r="E136" s="385"/>
      <c r="F136" s="386"/>
      <c r="G136" s="386"/>
      <c r="H136" s="386"/>
      <c r="I136" s="386"/>
      <c r="J136" s="386"/>
    </row>
    <row r="137" spans="1:10" ht="16.5">
      <c r="A137" s="398"/>
      <c r="B137" s="399"/>
      <c r="C137" s="385"/>
      <c r="D137" s="385"/>
      <c r="E137" s="385"/>
      <c r="F137" s="386"/>
      <c r="G137" s="386"/>
      <c r="H137" s="386"/>
      <c r="I137" s="386"/>
      <c r="J137" s="386"/>
    </row>
    <row r="138" spans="1:10" ht="16.5">
      <c r="A138" s="398"/>
      <c r="B138" s="399"/>
      <c r="C138" s="385"/>
      <c r="D138" s="385"/>
      <c r="E138" s="385"/>
      <c r="F138" s="386"/>
      <c r="G138" s="386"/>
      <c r="H138" s="386"/>
      <c r="I138" s="386"/>
      <c r="J138" s="386"/>
    </row>
    <row r="139" spans="1:10" ht="16.5">
      <c r="A139" s="398"/>
      <c r="B139" s="399"/>
      <c r="C139" s="385"/>
      <c r="D139" s="385"/>
      <c r="E139" s="385"/>
      <c r="F139" s="386"/>
      <c r="G139" s="386"/>
      <c r="H139" s="386"/>
      <c r="I139" s="386"/>
      <c r="J139" s="386"/>
    </row>
    <row r="140" spans="1:10" ht="16.5">
      <c r="A140" s="398"/>
      <c r="B140" s="399"/>
      <c r="C140" s="385"/>
      <c r="D140" s="385"/>
      <c r="E140" s="385"/>
      <c r="F140" s="386"/>
      <c r="G140" s="386"/>
      <c r="H140" s="386"/>
      <c r="I140" s="386"/>
      <c r="J140" s="386"/>
    </row>
    <row r="141" spans="1:10" ht="16.5">
      <c r="A141" s="398"/>
      <c r="B141" s="399"/>
      <c r="C141" s="385"/>
      <c r="D141" s="385"/>
      <c r="E141" s="385"/>
      <c r="F141" s="386"/>
      <c r="G141" s="386"/>
      <c r="H141" s="386"/>
      <c r="I141" s="386"/>
      <c r="J141" s="386"/>
    </row>
    <row r="142" spans="1:10" ht="16.5">
      <c r="A142" s="398"/>
      <c r="B142" s="399"/>
      <c r="C142" s="385"/>
      <c r="D142" s="385"/>
      <c r="E142" s="385"/>
      <c r="F142" s="386"/>
      <c r="G142" s="386"/>
      <c r="H142" s="386"/>
      <c r="I142" s="386"/>
      <c r="J142" s="386"/>
    </row>
    <row r="143" spans="1:10" ht="16.5">
      <c r="A143" s="398"/>
      <c r="B143" s="399"/>
      <c r="C143" s="385"/>
      <c r="D143" s="385"/>
      <c r="E143" s="385"/>
      <c r="F143" s="386"/>
      <c r="G143" s="386"/>
      <c r="H143" s="386"/>
      <c r="I143" s="386"/>
      <c r="J143" s="386"/>
    </row>
    <row r="144" spans="1:10" ht="16.5">
      <c r="A144" s="398"/>
      <c r="B144" s="399"/>
      <c r="C144" s="385"/>
      <c r="D144" s="385"/>
      <c r="E144" s="385"/>
      <c r="F144" s="386"/>
      <c r="G144" s="386"/>
      <c r="H144" s="386"/>
      <c r="I144" s="386"/>
      <c r="J144" s="386"/>
    </row>
    <row r="145" spans="1:10" ht="16.5">
      <c r="A145" s="398"/>
      <c r="B145" s="399"/>
      <c r="C145" s="385"/>
      <c r="D145" s="385"/>
      <c r="E145" s="385"/>
      <c r="F145" s="386"/>
      <c r="G145" s="386"/>
      <c r="H145" s="386"/>
      <c r="I145" s="386"/>
      <c r="J145" s="386"/>
    </row>
    <row r="146" spans="1:10" ht="16.5">
      <c r="A146" s="398"/>
      <c r="B146" s="399"/>
      <c r="C146" s="385"/>
      <c r="D146" s="385"/>
      <c r="E146" s="385"/>
      <c r="F146" s="386"/>
      <c r="G146" s="386"/>
      <c r="H146" s="386"/>
      <c r="I146" s="386"/>
      <c r="J146" s="386"/>
    </row>
    <row r="147" spans="1:10" ht="16.5">
      <c r="A147" s="398"/>
      <c r="B147" s="399"/>
      <c r="C147" s="385"/>
      <c r="D147" s="385"/>
      <c r="E147" s="385"/>
      <c r="F147" s="386"/>
      <c r="G147" s="386"/>
      <c r="H147" s="386"/>
      <c r="I147" s="386"/>
      <c r="J147" s="386"/>
    </row>
    <row r="148" spans="1:10" ht="16.5">
      <c r="A148" s="398"/>
      <c r="B148" s="399"/>
      <c r="C148" s="385"/>
      <c r="D148" s="385"/>
      <c r="E148" s="385"/>
      <c r="F148" s="386"/>
      <c r="G148" s="386"/>
      <c r="H148" s="386"/>
      <c r="I148" s="386"/>
      <c r="J148" s="386"/>
    </row>
    <row r="149" spans="1:10" ht="16.5">
      <c r="A149" s="398"/>
      <c r="B149" s="399"/>
      <c r="C149" s="385"/>
      <c r="D149" s="385"/>
      <c r="E149" s="385"/>
      <c r="F149" s="386"/>
      <c r="G149" s="386"/>
      <c r="H149" s="386"/>
      <c r="I149" s="386"/>
      <c r="J149" s="386"/>
    </row>
    <row r="150" spans="1:10" ht="16.5">
      <c r="A150" s="398"/>
      <c r="B150" s="399"/>
      <c r="C150" s="385"/>
      <c r="D150" s="385"/>
      <c r="E150" s="385"/>
      <c r="F150" s="386"/>
      <c r="G150" s="386"/>
      <c r="H150" s="386"/>
      <c r="I150" s="386"/>
      <c r="J150" s="386"/>
    </row>
    <row r="151" spans="1:10" ht="16.5">
      <c r="A151" s="398"/>
      <c r="B151" s="399"/>
      <c r="C151" s="385"/>
      <c r="D151" s="385"/>
      <c r="E151" s="385"/>
      <c r="F151" s="386"/>
      <c r="G151" s="386"/>
      <c r="H151" s="386"/>
      <c r="I151" s="386"/>
      <c r="J151" s="386"/>
    </row>
    <row r="152" spans="1:10" ht="16.5">
      <c r="A152" s="398"/>
      <c r="B152" s="399"/>
      <c r="C152" s="385"/>
      <c r="D152" s="385"/>
      <c r="E152" s="385"/>
      <c r="F152" s="386"/>
      <c r="G152" s="386"/>
      <c r="H152" s="386"/>
      <c r="I152" s="386"/>
      <c r="J152" s="386"/>
    </row>
    <row r="153" spans="1:10" ht="16.5">
      <c r="A153" s="398"/>
      <c r="B153" s="399"/>
      <c r="C153" s="385"/>
      <c r="D153" s="385"/>
      <c r="E153" s="385"/>
      <c r="F153" s="386"/>
      <c r="G153" s="386"/>
      <c r="H153" s="386"/>
      <c r="I153" s="386"/>
      <c r="J153" s="386"/>
    </row>
    <row r="154" spans="1:10" ht="16.5">
      <c r="A154" s="398"/>
      <c r="B154" s="399"/>
      <c r="C154" s="385"/>
      <c r="D154" s="385"/>
      <c r="E154" s="385"/>
      <c r="F154" s="386"/>
      <c r="G154" s="386"/>
      <c r="H154" s="386"/>
      <c r="I154" s="386"/>
      <c r="J154" s="386"/>
    </row>
    <row r="155" spans="1:10" ht="16.5">
      <c r="A155" s="398"/>
      <c r="B155" s="399"/>
      <c r="C155" s="385"/>
      <c r="D155" s="385"/>
      <c r="E155" s="385"/>
      <c r="F155" s="386"/>
      <c r="G155" s="386"/>
      <c r="H155" s="386"/>
      <c r="I155" s="386"/>
      <c r="J155" s="386"/>
    </row>
    <row r="156" spans="1:10" ht="16.5">
      <c r="A156" s="398"/>
      <c r="B156" s="399"/>
      <c r="C156" s="385"/>
      <c r="D156" s="385"/>
      <c r="E156" s="385"/>
      <c r="F156" s="386"/>
      <c r="G156" s="386"/>
      <c r="H156" s="386"/>
      <c r="I156" s="386"/>
      <c r="J156" s="386"/>
    </row>
    <row r="157" spans="1:10" ht="16.5">
      <c r="A157" s="398"/>
      <c r="B157" s="399"/>
      <c r="C157" s="385"/>
      <c r="D157" s="385"/>
      <c r="E157" s="385"/>
      <c r="F157" s="386"/>
      <c r="G157" s="386"/>
      <c r="H157" s="386"/>
      <c r="I157" s="386"/>
      <c r="J157" s="386"/>
    </row>
    <row r="158" spans="1:10" ht="16.5">
      <c r="A158" s="398"/>
      <c r="B158" s="399"/>
      <c r="C158" s="385"/>
      <c r="D158" s="385"/>
      <c r="E158" s="385"/>
      <c r="F158" s="386"/>
      <c r="G158" s="386"/>
      <c r="H158" s="386"/>
      <c r="I158" s="386"/>
      <c r="J158" s="386"/>
    </row>
    <row r="159" spans="1:10" ht="16.5">
      <c r="A159" s="398"/>
      <c r="B159" s="399"/>
      <c r="C159" s="385"/>
      <c r="D159" s="385"/>
      <c r="E159" s="385"/>
      <c r="F159" s="386"/>
      <c r="G159" s="386"/>
      <c r="H159" s="386"/>
      <c r="I159" s="386"/>
      <c r="J159" s="386"/>
    </row>
    <row r="160" spans="1:10" ht="16.5">
      <c r="A160" s="398"/>
      <c r="B160" s="399"/>
      <c r="C160" s="385"/>
      <c r="D160" s="385"/>
      <c r="E160" s="385"/>
      <c r="F160" s="386"/>
      <c r="G160" s="386"/>
      <c r="H160" s="386"/>
      <c r="I160" s="386"/>
      <c r="J160" s="386"/>
    </row>
    <row r="161" spans="1:10" ht="16.5">
      <c r="A161" s="398"/>
      <c r="B161" s="399"/>
      <c r="C161" s="385"/>
      <c r="D161" s="385"/>
      <c r="E161" s="385"/>
      <c r="F161" s="386"/>
      <c r="G161" s="386"/>
      <c r="H161" s="386"/>
      <c r="I161" s="386"/>
      <c r="J161" s="386"/>
    </row>
    <row r="162" spans="1:10" ht="16.5">
      <c r="A162" s="398"/>
      <c r="B162" s="399"/>
      <c r="C162" s="385"/>
      <c r="D162" s="385"/>
      <c r="E162" s="385"/>
      <c r="F162" s="386"/>
      <c r="G162" s="386"/>
      <c r="H162" s="386"/>
      <c r="I162" s="386"/>
      <c r="J162" s="386"/>
    </row>
    <row r="163" spans="1:10" ht="16.5">
      <c r="A163" s="398"/>
      <c r="B163" s="399"/>
      <c r="C163" s="385"/>
      <c r="D163" s="385"/>
      <c r="E163" s="385"/>
      <c r="F163" s="386"/>
      <c r="G163" s="386"/>
      <c r="H163" s="386"/>
      <c r="I163" s="386"/>
      <c r="J163" s="386"/>
    </row>
    <row r="164" spans="1:10" ht="16.5">
      <c r="A164" s="398"/>
      <c r="B164" s="399"/>
      <c r="C164" s="385"/>
      <c r="D164" s="385"/>
      <c r="E164" s="385"/>
      <c r="F164" s="386"/>
      <c r="G164" s="386"/>
      <c r="H164" s="386"/>
      <c r="I164" s="386"/>
      <c r="J164" s="386"/>
    </row>
    <row r="165" spans="1:10" ht="16.5">
      <c r="A165" s="398"/>
      <c r="B165" s="399"/>
      <c r="C165" s="385"/>
      <c r="D165" s="385"/>
      <c r="E165" s="385"/>
      <c r="F165" s="386"/>
      <c r="G165" s="386"/>
      <c r="H165" s="386"/>
      <c r="I165" s="386"/>
      <c r="J165" s="386"/>
    </row>
    <row r="166" spans="1:10" ht="16.5">
      <c r="A166" s="398"/>
      <c r="B166" s="399"/>
      <c r="C166" s="385"/>
      <c r="D166" s="385"/>
      <c r="E166" s="385"/>
      <c r="F166" s="386"/>
      <c r="G166" s="386"/>
      <c r="H166" s="386"/>
      <c r="I166" s="386"/>
      <c r="J166" s="386"/>
    </row>
    <row r="167" spans="1:10" ht="16.5">
      <c r="A167" s="398"/>
      <c r="B167" s="399"/>
      <c r="C167" s="385"/>
      <c r="D167" s="385"/>
      <c r="E167" s="385"/>
      <c r="F167" s="386"/>
      <c r="G167" s="386"/>
      <c r="H167" s="386"/>
      <c r="I167" s="386"/>
      <c r="J167" s="386"/>
    </row>
    <row r="168" spans="1:10" ht="16.5">
      <c r="A168" s="398"/>
      <c r="B168" s="399"/>
      <c r="C168" s="385"/>
      <c r="D168" s="385"/>
      <c r="E168" s="385"/>
      <c r="F168" s="386"/>
      <c r="G168" s="386"/>
      <c r="H168" s="386"/>
      <c r="I168" s="386"/>
      <c r="J168" s="386"/>
    </row>
    <row r="169" spans="1:10" ht="16.5">
      <c r="A169" s="398"/>
      <c r="B169" s="399"/>
      <c r="C169" s="385"/>
      <c r="D169" s="385"/>
      <c r="E169" s="385"/>
      <c r="F169" s="386"/>
      <c r="G169" s="386"/>
      <c r="H169" s="386"/>
      <c r="I169" s="386"/>
      <c r="J169" s="386"/>
    </row>
    <row r="170" spans="1:10" ht="16.5">
      <c r="A170" s="398"/>
      <c r="B170" s="399"/>
      <c r="C170" s="385"/>
      <c r="D170" s="385"/>
      <c r="E170" s="385"/>
      <c r="F170" s="386"/>
      <c r="G170" s="386"/>
      <c r="H170" s="386"/>
      <c r="I170" s="386"/>
      <c r="J170" s="386"/>
    </row>
    <row r="171" spans="1:10" ht="16.5">
      <c r="A171" s="398"/>
      <c r="B171" s="399"/>
      <c r="C171" s="385"/>
      <c r="D171" s="385"/>
      <c r="E171" s="385"/>
      <c r="F171" s="386"/>
      <c r="G171" s="386"/>
      <c r="H171" s="386"/>
      <c r="I171" s="386"/>
      <c r="J171" s="386"/>
    </row>
    <row r="172" spans="1:10" ht="16.5">
      <c r="A172" s="398"/>
      <c r="B172" s="399"/>
      <c r="C172" s="385"/>
      <c r="D172" s="385"/>
      <c r="E172" s="385"/>
      <c r="F172" s="386"/>
      <c r="G172" s="386"/>
      <c r="H172" s="386"/>
      <c r="I172" s="386"/>
      <c r="J172" s="386"/>
    </row>
    <row r="173" spans="1:10" ht="16.5">
      <c r="A173" s="398"/>
      <c r="B173" s="399"/>
      <c r="C173" s="385"/>
      <c r="D173" s="385"/>
      <c r="E173" s="385"/>
      <c r="F173" s="386"/>
      <c r="G173" s="386"/>
      <c r="H173" s="386"/>
      <c r="I173" s="386"/>
      <c r="J173" s="386"/>
    </row>
    <row r="174" spans="1:10" ht="16.5">
      <c r="A174" s="398"/>
      <c r="B174" s="399"/>
      <c r="C174" s="385"/>
      <c r="D174" s="385"/>
      <c r="E174" s="385"/>
      <c r="F174" s="386"/>
      <c r="G174" s="386"/>
      <c r="H174" s="386"/>
      <c r="I174" s="386"/>
      <c r="J174" s="386"/>
    </row>
    <row r="175" spans="1:10" ht="16.5">
      <c r="A175" s="398"/>
      <c r="B175" s="399"/>
      <c r="C175" s="385"/>
      <c r="D175" s="385"/>
      <c r="E175" s="385"/>
      <c r="F175" s="386"/>
      <c r="G175" s="386"/>
      <c r="H175" s="386"/>
      <c r="I175" s="386"/>
      <c r="J175" s="386"/>
    </row>
    <row r="176" spans="1:10" ht="16.5">
      <c r="A176" s="398"/>
      <c r="B176" s="399"/>
      <c r="C176" s="385"/>
      <c r="D176" s="385"/>
      <c r="E176" s="385"/>
      <c r="F176" s="386"/>
      <c r="G176" s="386"/>
      <c r="H176" s="386"/>
      <c r="I176" s="386"/>
      <c r="J176" s="386"/>
    </row>
    <row r="177" spans="1:10" ht="16.5">
      <c r="A177" s="398"/>
      <c r="B177" s="399"/>
      <c r="C177" s="385"/>
      <c r="D177" s="385"/>
      <c r="E177" s="385"/>
      <c r="F177" s="386"/>
      <c r="G177" s="386"/>
      <c r="H177" s="386"/>
      <c r="I177" s="386"/>
      <c r="J177" s="386"/>
    </row>
    <row r="178" spans="1:10" ht="16.5">
      <c r="A178" s="398"/>
      <c r="B178" s="399"/>
      <c r="C178" s="385"/>
      <c r="D178" s="385"/>
      <c r="E178" s="385"/>
      <c r="F178" s="386"/>
      <c r="G178" s="386"/>
      <c r="H178" s="386"/>
      <c r="I178" s="386"/>
      <c r="J178" s="386"/>
    </row>
    <row r="179" spans="1:10" ht="16.5">
      <c r="A179" s="398"/>
      <c r="B179" s="399"/>
      <c r="C179" s="385"/>
      <c r="D179" s="385"/>
      <c r="E179" s="385"/>
      <c r="F179" s="386"/>
      <c r="G179" s="386"/>
      <c r="H179" s="386"/>
      <c r="I179" s="386"/>
      <c r="J179" s="386"/>
    </row>
    <row r="180" spans="1:10" ht="16.5">
      <c r="A180" s="398"/>
      <c r="B180" s="399"/>
      <c r="C180" s="385"/>
      <c r="D180" s="385"/>
      <c r="E180" s="385"/>
      <c r="F180" s="386"/>
      <c r="G180" s="386"/>
      <c r="H180" s="386"/>
      <c r="I180" s="386"/>
      <c r="J180" s="386"/>
    </row>
    <row r="181" spans="1:10" ht="16.5">
      <c r="A181" s="398"/>
      <c r="B181" s="399"/>
      <c r="C181" s="385"/>
      <c r="D181" s="385"/>
      <c r="E181" s="385"/>
      <c r="F181" s="386"/>
      <c r="G181" s="386"/>
      <c r="H181" s="386"/>
      <c r="I181" s="386"/>
      <c r="J181" s="386"/>
    </row>
    <row r="182" spans="1:10" ht="16.5">
      <c r="A182" s="398"/>
      <c r="B182" s="399"/>
      <c r="C182" s="385"/>
      <c r="D182" s="385"/>
      <c r="E182" s="385"/>
      <c r="F182" s="386"/>
      <c r="G182" s="386"/>
      <c r="H182" s="386"/>
      <c r="I182" s="386"/>
      <c r="J182" s="386"/>
    </row>
    <row r="183" spans="1:10" ht="16.5">
      <c r="A183" s="398"/>
      <c r="B183" s="399"/>
      <c r="C183" s="385"/>
      <c r="D183" s="385"/>
      <c r="E183" s="385"/>
      <c r="F183" s="386"/>
      <c r="G183" s="386"/>
      <c r="H183" s="386"/>
      <c r="I183" s="386"/>
      <c r="J183" s="386"/>
    </row>
    <row r="184" spans="1:10" ht="16.5">
      <c r="A184" s="398"/>
      <c r="B184" s="399"/>
      <c r="C184" s="385"/>
      <c r="D184" s="385"/>
      <c r="E184" s="385"/>
      <c r="F184" s="386"/>
      <c r="G184" s="386"/>
      <c r="H184" s="386"/>
      <c r="I184" s="386"/>
      <c r="J184" s="386"/>
    </row>
    <row r="185" spans="1:10" ht="16.5">
      <c r="A185" s="398"/>
      <c r="B185" s="399"/>
      <c r="C185" s="385"/>
      <c r="D185" s="385"/>
      <c r="E185" s="385"/>
      <c r="F185" s="386"/>
      <c r="G185" s="386"/>
      <c r="H185" s="386"/>
      <c r="I185" s="386"/>
      <c r="J185" s="386"/>
    </row>
    <row r="186" spans="1:10" ht="16.5">
      <c r="A186" s="398"/>
      <c r="B186" s="399"/>
      <c r="C186" s="385"/>
      <c r="D186" s="385"/>
      <c r="E186" s="385"/>
      <c r="F186" s="386"/>
      <c r="G186" s="386"/>
      <c r="H186" s="386"/>
      <c r="I186" s="386"/>
      <c r="J186" s="386"/>
    </row>
    <row r="187" spans="1:10" ht="16.5">
      <c r="A187" s="398"/>
      <c r="B187" s="399"/>
      <c r="C187" s="385"/>
      <c r="D187" s="385"/>
      <c r="E187" s="385"/>
      <c r="F187" s="386"/>
      <c r="G187" s="386"/>
      <c r="H187" s="386"/>
      <c r="I187" s="386"/>
      <c r="J187" s="386"/>
    </row>
    <row r="188" spans="1:10" ht="16.5">
      <c r="A188" s="398"/>
      <c r="B188" s="399"/>
      <c r="C188" s="385"/>
      <c r="D188" s="385"/>
      <c r="E188" s="385"/>
      <c r="F188" s="386"/>
      <c r="G188" s="386"/>
      <c r="H188" s="386"/>
      <c r="I188" s="386"/>
      <c r="J188" s="386"/>
    </row>
    <row r="189" spans="1:10" ht="16.5">
      <c r="A189" s="398"/>
      <c r="B189" s="399"/>
      <c r="C189" s="385"/>
      <c r="D189" s="385"/>
      <c r="E189" s="385"/>
      <c r="F189" s="386"/>
      <c r="G189" s="386"/>
      <c r="H189" s="386"/>
      <c r="I189" s="386"/>
      <c r="J189" s="386"/>
    </row>
    <row r="190" spans="1:10" ht="16.5">
      <c r="A190" s="398"/>
      <c r="B190" s="399"/>
      <c r="C190" s="385"/>
      <c r="D190" s="385"/>
      <c r="E190" s="385"/>
      <c r="F190" s="386"/>
      <c r="G190" s="386"/>
      <c r="H190" s="386"/>
      <c r="I190" s="386"/>
      <c r="J190" s="386"/>
    </row>
    <row r="191" spans="1:10" ht="16.5">
      <c r="A191" s="398"/>
      <c r="B191" s="399"/>
      <c r="C191" s="385"/>
      <c r="D191" s="385"/>
      <c r="E191" s="385"/>
      <c r="F191" s="386"/>
      <c r="G191" s="386"/>
      <c r="H191" s="386"/>
      <c r="I191" s="386"/>
      <c r="J191" s="386"/>
    </row>
    <row r="192" spans="1:10" ht="16.5">
      <c r="A192" s="398"/>
      <c r="B192" s="399"/>
      <c r="C192" s="385"/>
      <c r="D192" s="385"/>
      <c r="E192" s="385"/>
      <c r="F192" s="386"/>
      <c r="G192" s="386"/>
      <c r="H192" s="386"/>
      <c r="I192" s="386"/>
      <c r="J192" s="386"/>
    </row>
    <row r="193" spans="1:10" ht="16.5">
      <c r="A193" s="398"/>
      <c r="B193" s="399"/>
      <c r="C193" s="385"/>
      <c r="D193" s="385"/>
      <c r="E193" s="385"/>
      <c r="F193" s="386"/>
      <c r="G193" s="386"/>
      <c r="H193" s="386"/>
      <c r="I193" s="386"/>
      <c r="J193" s="386"/>
    </row>
    <row r="194" spans="1:10" ht="16.5">
      <c r="A194" s="398"/>
      <c r="B194" s="399"/>
      <c r="C194" s="385"/>
      <c r="D194" s="385"/>
      <c r="E194" s="385"/>
      <c r="F194" s="386"/>
      <c r="G194" s="386"/>
      <c r="H194" s="386"/>
      <c r="I194" s="386"/>
      <c r="J194" s="386"/>
    </row>
    <row r="195" spans="1:10" ht="16.5">
      <c r="A195" s="398"/>
      <c r="B195" s="399"/>
      <c r="C195" s="385"/>
      <c r="D195" s="385"/>
      <c r="E195" s="385"/>
      <c r="F195" s="386"/>
      <c r="G195" s="386"/>
      <c r="H195" s="386"/>
      <c r="I195" s="386"/>
      <c r="J195" s="386"/>
    </row>
    <row r="196" spans="1:10" ht="16.5">
      <c r="A196" s="398"/>
      <c r="B196" s="399"/>
      <c r="C196" s="385"/>
      <c r="D196" s="385"/>
      <c r="E196" s="385"/>
      <c r="F196" s="386"/>
      <c r="G196" s="386"/>
      <c r="H196" s="386"/>
      <c r="I196" s="386"/>
      <c r="J196" s="386"/>
    </row>
    <row r="197" spans="1:10" ht="16.5">
      <c r="A197" s="398"/>
      <c r="B197" s="399"/>
      <c r="C197" s="385"/>
      <c r="D197" s="385"/>
      <c r="E197" s="385"/>
      <c r="F197" s="386"/>
      <c r="G197" s="386"/>
      <c r="H197" s="386"/>
      <c r="I197" s="386"/>
      <c r="J197" s="386"/>
    </row>
    <row r="198" spans="1:10" ht="16.5">
      <c r="A198" s="398"/>
      <c r="B198" s="399"/>
      <c r="C198" s="385"/>
      <c r="D198" s="385"/>
      <c r="E198" s="385"/>
      <c r="F198" s="386"/>
      <c r="G198" s="386"/>
      <c r="H198" s="386"/>
      <c r="I198" s="386"/>
      <c r="J198" s="386"/>
    </row>
    <row r="199" spans="1:10" ht="16.5">
      <c r="A199" s="398"/>
      <c r="B199" s="399"/>
      <c r="C199" s="385"/>
      <c r="D199" s="385"/>
      <c r="E199" s="385"/>
      <c r="F199" s="386"/>
      <c r="G199" s="386"/>
      <c r="H199" s="386"/>
      <c r="I199" s="386"/>
      <c r="J199" s="386"/>
    </row>
    <row r="200" spans="1:10" ht="16.5">
      <c r="A200" s="398"/>
      <c r="B200" s="399"/>
      <c r="C200" s="385"/>
      <c r="D200" s="385"/>
      <c r="E200" s="385"/>
      <c r="F200" s="386"/>
      <c r="G200" s="386"/>
      <c r="H200" s="386"/>
      <c r="I200" s="386"/>
      <c r="J200" s="386"/>
    </row>
    <row r="201" spans="1:10" ht="16.5">
      <c r="A201" s="398"/>
      <c r="B201" s="399"/>
      <c r="C201" s="385"/>
      <c r="D201" s="385"/>
      <c r="E201" s="385"/>
      <c r="F201" s="386"/>
      <c r="G201" s="386"/>
      <c r="H201" s="386"/>
      <c r="I201" s="386"/>
      <c r="J201" s="386"/>
    </row>
    <row r="202" spans="1:10" ht="16.5">
      <c r="A202" s="398"/>
      <c r="B202" s="399"/>
      <c r="C202" s="385"/>
      <c r="D202" s="385"/>
      <c r="E202" s="385"/>
      <c r="F202" s="386"/>
      <c r="G202" s="386"/>
      <c r="H202" s="386"/>
      <c r="I202" s="386"/>
      <c r="J202" s="386"/>
    </row>
    <row r="203" spans="1:10" ht="16.5">
      <c r="A203" s="398"/>
      <c r="B203" s="399"/>
      <c r="C203" s="385"/>
      <c r="D203" s="385"/>
      <c r="E203" s="385"/>
      <c r="F203" s="386"/>
      <c r="G203" s="386"/>
      <c r="H203" s="386"/>
      <c r="I203" s="386"/>
      <c r="J203" s="386"/>
    </row>
    <row r="204" spans="1:10" ht="16.5">
      <c r="A204" s="398"/>
      <c r="B204" s="399"/>
      <c r="C204" s="385"/>
      <c r="D204" s="385"/>
      <c r="E204" s="385"/>
      <c r="F204" s="386"/>
      <c r="G204" s="386"/>
      <c r="H204" s="386"/>
      <c r="I204" s="386"/>
      <c r="J204" s="386"/>
    </row>
    <row r="205" spans="1:10" ht="16.5">
      <c r="A205" s="398"/>
      <c r="B205" s="399"/>
      <c r="C205" s="385"/>
      <c r="D205" s="385"/>
      <c r="E205" s="385"/>
      <c r="F205" s="386"/>
      <c r="G205" s="386"/>
      <c r="H205" s="386"/>
      <c r="I205" s="386"/>
      <c r="J205" s="386"/>
    </row>
    <row r="206" spans="1:10" ht="16.5">
      <c r="A206" s="398"/>
      <c r="B206" s="399"/>
      <c r="C206" s="385"/>
      <c r="D206" s="385"/>
      <c r="E206" s="385"/>
      <c r="F206" s="386"/>
      <c r="G206" s="386"/>
      <c r="H206" s="386"/>
      <c r="I206" s="386"/>
      <c r="J206" s="386"/>
    </row>
    <row r="207" spans="1:10" ht="16.5">
      <c r="A207" s="398"/>
      <c r="B207" s="399"/>
      <c r="C207" s="385"/>
      <c r="D207" s="385"/>
      <c r="E207" s="385"/>
      <c r="F207" s="386"/>
      <c r="G207" s="386"/>
      <c r="H207" s="386"/>
      <c r="I207" s="386"/>
      <c r="J207" s="386"/>
    </row>
    <row r="208" spans="1:10" ht="16.5">
      <c r="A208" s="398"/>
      <c r="B208" s="399"/>
      <c r="C208" s="385"/>
      <c r="D208" s="385"/>
      <c r="E208" s="385"/>
      <c r="F208" s="386"/>
      <c r="G208" s="386"/>
      <c r="H208" s="386"/>
      <c r="I208" s="386"/>
      <c r="J208" s="386"/>
    </row>
    <row r="209" spans="1:10" ht="16.5">
      <c r="A209" s="398"/>
      <c r="B209" s="399"/>
      <c r="C209" s="385"/>
      <c r="D209" s="385"/>
      <c r="E209" s="385"/>
      <c r="F209" s="386"/>
      <c r="G209" s="386"/>
      <c r="H209" s="386"/>
      <c r="I209" s="386"/>
      <c r="J209" s="386"/>
    </row>
    <row r="210" spans="1:10" ht="16.5">
      <c r="A210" s="398"/>
      <c r="B210" s="399"/>
      <c r="C210" s="385"/>
      <c r="D210" s="385"/>
      <c r="E210" s="385"/>
      <c r="F210" s="386"/>
      <c r="G210" s="386"/>
      <c r="H210" s="386"/>
      <c r="I210" s="386"/>
      <c r="J210" s="386"/>
    </row>
    <row r="211" spans="1:10" ht="16.5">
      <c r="A211" s="398"/>
      <c r="B211" s="399"/>
      <c r="C211" s="385"/>
      <c r="D211" s="385"/>
      <c r="E211" s="385"/>
      <c r="F211" s="386"/>
      <c r="G211" s="386"/>
      <c r="H211" s="386"/>
      <c r="I211" s="386"/>
      <c r="J211" s="386"/>
    </row>
    <row r="212" spans="1:10" ht="16.5">
      <c r="A212" s="398"/>
      <c r="B212" s="399"/>
      <c r="C212" s="385"/>
      <c r="D212" s="385"/>
      <c r="E212" s="385"/>
      <c r="F212" s="386"/>
      <c r="G212" s="386"/>
      <c r="H212" s="386"/>
      <c r="I212" s="386"/>
      <c r="J212" s="386"/>
    </row>
    <row r="213" spans="1:10" ht="16.5">
      <c r="A213" s="398"/>
      <c r="B213" s="399"/>
      <c r="C213" s="385"/>
      <c r="D213" s="385"/>
      <c r="E213" s="385"/>
      <c r="F213" s="386"/>
      <c r="G213" s="386"/>
      <c r="H213" s="386"/>
      <c r="I213" s="386"/>
      <c r="J213" s="386"/>
    </row>
    <row r="214" spans="1:10" ht="16.5">
      <c r="A214" s="398"/>
      <c r="B214" s="399"/>
      <c r="C214" s="385"/>
      <c r="D214" s="385"/>
      <c r="E214" s="385"/>
      <c r="F214" s="386"/>
      <c r="G214" s="386"/>
      <c r="H214" s="386"/>
      <c r="I214" s="386"/>
      <c r="J214" s="386"/>
    </row>
    <row r="215" spans="1:10" ht="16.5">
      <c r="A215" s="398"/>
      <c r="B215" s="399"/>
      <c r="C215" s="385"/>
      <c r="D215" s="385"/>
      <c r="E215" s="385"/>
      <c r="F215" s="386"/>
      <c r="G215" s="386"/>
      <c r="H215" s="386"/>
      <c r="I215" s="386"/>
      <c r="J215" s="386"/>
    </row>
    <row r="216" spans="1:10" ht="16.5">
      <c r="A216" s="398"/>
      <c r="B216" s="399"/>
      <c r="C216" s="385"/>
      <c r="D216" s="385"/>
      <c r="E216" s="385"/>
      <c r="F216" s="386"/>
      <c r="G216" s="386"/>
      <c r="H216" s="386"/>
      <c r="I216" s="386"/>
      <c r="J216" s="386"/>
    </row>
    <row r="217" spans="1:10" ht="16.5">
      <c r="A217" s="398"/>
      <c r="B217" s="399"/>
      <c r="C217" s="385"/>
      <c r="D217" s="385"/>
      <c r="E217" s="385"/>
      <c r="F217" s="386"/>
      <c r="G217" s="386"/>
      <c r="H217" s="386"/>
      <c r="I217" s="386"/>
      <c r="J217" s="386"/>
    </row>
    <row r="218" spans="1:10" ht="16.5">
      <c r="A218" s="398"/>
      <c r="B218" s="399"/>
      <c r="C218" s="385"/>
      <c r="D218" s="385"/>
      <c r="E218" s="385"/>
      <c r="F218" s="386"/>
      <c r="G218" s="386"/>
      <c r="H218" s="386"/>
      <c r="I218" s="386"/>
      <c r="J218" s="386"/>
    </row>
    <row r="219" spans="1:10" ht="16.5">
      <c r="A219" s="398"/>
      <c r="B219" s="399"/>
      <c r="C219" s="385"/>
      <c r="D219" s="385"/>
      <c r="E219" s="385"/>
      <c r="F219" s="386"/>
      <c r="G219" s="386"/>
      <c r="H219" s="386"/>
      <c r="I219" s="386"/>
      <c r="J219" s="386"/>
    </row>
    <row r="220" spans="1:10" ht="16.5">
      <c r="A220" s="398"/>
      <c r="B220" s="399"/>
      <c r="C220" s="385"/>
      <c r="D220" s="385"/>
      <c r="E220" s="385"/>
      <c r="F220" s="386"/>
      <c r="G220" s="386"/>
      <c r="H220" s="386"/>
      <c r="I220" s="386"/>
      <c r="J220" s="386"/>
    </row>
    <row r="221" spans="1:10" ht="16.5">
      <c r="A221" s="398"/>
      <c r="B221" s="399"/>
      <c r="C221" s="385"/>
      <c r="D221" s="385"/>
      <c r="E221" s="385"/>
      <c r="F221" s="386"/>
      <c r="G221" s="386"/>
      <c r="H221" s="386"/>
      <c r="I221" s="386"/>
      <c r="J221" s="386"/>
    </row>
    <row r="222" spans="1:10" ht="16.5">
      <c r="A222" s="398"/>
      <c r="B222" s="399"/>
      <c r="C222" s="385"/>
      <c r="D222" s="385"/>
      <c r="E222" s="385"/>
      <c r="F222" s="386"/>
      <c r="G222" s="386"/>
      <c r="H222" s="386"/>
      <c r="I222" s="386"/>
      <c r="J222" s="386"/>
    </row>
    <row r="223" spans="1:10" ht="16.5">
      <c r="A223" s="398"/>
      <c r="B223" s="399"/>
      <c r="C223" s="385"/>
      <c r="D223" s="385"/>
      <c r="E223" s="385"/>
      <c r="F223" s="386"/>
      <c r="G223" s="386"/>
      <c r="H223" s="386"/>
      <c r="I223" s="386"/>
      <c r="J223" s="386"/>
    </row>
    <row r="224" spans="1:10" ht="16.5">
      <c r="A224" s="398"/>
      <c r="B224" s="399"/>
      <c r="C224" s="385"/>
      <c r="D224" s="385"/>
      <c r="E224" s="385"/>
      <c r="F224" s="386"/>
      <c r="G224" s="386"/>
      <c r="H224" s="386"/>
      <c r="I224" s="386"/>
      <c r="J224" s="386"/>
    </row>
    <row r="225" spans="1:10" ht="16.5">
      <c r="A225" s="398"/>
      <c r="B225" s="399"/>
      <c r="C225" s="385"/>
      <c r="D225" s="385"/>
      <c r="E225" s="385"/>
      <c r="F225" s="386"/>
      <c r="G225" s="386"/>
      <c r="H225" s="386"/>
      <c r="I225" s="386"/>
      <c r="J225" s="386"/>
    </row>
    <row r="226" spans="1:10" ht="16.5">
      <c r="A226" s="398"/>
      <c r="B226" s="399"/>
      <c r="C226" s="385"/>
      <c r="D226" s="385"/>
      <c r="E226" s="385"/>
      <c r="F226" s="386"/>
      <c r="G226" s="386"/>
      <c r="H226" s="386"/>
      <c r="I226" s="386"/>
      <c r="J226" s="386"/>
    </row>
    <row r="227" spans="1:10" ht="16.5">
      <c r="A227" s="398"/>
      <c r="B227" s="399"/>
      <c r="C227" s="385"/>
      <c r="D227" s="385"/>
      <c r="E227" s="385"/>
      <c r="F227" s="386"/>
      <c r="G227" s="386"/>
      <c r="H227" s="386"/>
      <c r="I227" s="386"/>
      <c r="J227" s="386"/>
    </row>
    <row r="228" spans="1:10" ht="16.5">
      <c r="A228" s="398"/>
      <c r="B228" s="399"/>
      <c r="C228" s="385"/>
      <c r="D228" s="385"/>
      <c r="E228" s="385"/>
      <c r="F228" s="386"/>
      <c r="G228" s="386"/>
      <c r="H228" s="386"/>
      <c r="I228" s="386"/>
      <c r="J228" s="386"/>
    </row>
    <row r="229" spans="1:10" ht="16.5">
      <c r="A229" s="398"/>
      <c r="B229" s="399"/>
      <c r="C229" s="385"/>
      <c r="D229" s="385"/>
      <c r="E229" s="385"/>
      <c r="F229" s="386"/>
      <c r="G229" s="386"/>
      <c r="H229" s="386"/>
      <c r="I229" s="386"/>
      <c r="J229" s="386"/>
    </row>
    <row r="230" spans="1:10" ht="16.5">
      <c r="A230" s="398"/>
      <c r="B230" s="399"/>
      <c r="C230" s="385"/>
      <c r="D230" s="385"/>
      <c r="E230" s="385"/>
      <c r="F230" s="386"/>
      <c r="G230" s="386"/>
      <c r="H230" s="386"/>
      <c r="I230" s="386"/>
      <c r="J230" s="386"/>
    </row>
    <row r="231" spans="1:10" ht="16.5">
      <c r="A231" s="398"/>
      <c r="B231" s="399"/>
      <c r="C231" s="385"/>
      <c r="D231" s="385"/>
      <c r="E231" s="385"/>
      <c r="F231" s="386"/>
      <c r="G231" s="386"/>
      <c r="H231" s="386"/>
      <c r="I231" s="386"/>
      <c r="J231" s="386"/>
    </row>
    <row r="232" spans="1:10" ht="16.5">
      <c r="A232" s="398"/>
      <c r="B232" s="399"/>
      <c r="C232" s="385"/>
      <c r="D232" s="385"/>
      <c r="E232" s="385"/>
      <c r="F232" s="386"/>
      <c r="G232" s="386"/>
      <c r="H232" s="386"/>
      <c r="I232" s="386"/>
      <c r="J232" s="386"/>
    </row>
    <row r="233" spans="1:10" ht="16.5">
      <c r="A233" s="398"/>
      <c r="B233" s="399"/>
      <c r="C233" s="385"/>
      <c r="D233" s="385"/>
      <c r="E233" s="385"/>
      <c r="F233" s="386"/>
      <c r="G233" s="386"/>
      <c r="H233" s="386"/>
      <c r="I233" s="386"/>
      <c r="J233" s="386"/>
    </row>
    <row r="234" spans="1:10" ht="16.5">
      <c r="A234" s="398"/>
      <c r="B234" s="399"/>
      <c r="C234" s="385"/>
      <c r="D234" s="385"/>
      <c r="E234" s="385"/>
      <c r="F234" s="386"/>
      <c r="G234" s="386"/>
      <c r="H234" s="386"/>
      <c r="I234" s="386"/>
      <c r="J234" s="386"/>
    </row>
    <row r="235" spans="1:10" ht="16.5">
      <c r="A235" s="398"/>
      <c r="B235" s="399"/>
      <c r="C235" s="385"/>
      <c r="D235" s="385"/>
      <c r="E235" s="385"/>
      <c r="F235" s="386"/>
      <c r="G235" s="386"/>
      <c r="H235" s="386"/>
      <c r="I235" s="386"/>
      <c r="J235" s="386"/>
    </row>
    <row r="236" spans="1:10" ht="16.5">
      <c r="A236" s="398"/>
      <c r="B236" s="399"/>
      <c r="C236" s="385"/>
      <c r="D236" s="385"/>
      <c r="E236" s="385"/>
      <c r="F236" s="386"/>
      <c r="G236" s="386"/>
      <c r="H236" s="386"/>
      <c r="I236" s="386"/>
      <c r="J236" s="386"/>
    </row>
    <row r="237" spans="1:10" ht="16.5">
      <c r="A237" s="398"/>
      <c r="B237" s="399"/>
      <c r="C237" s="385"/>
      <c r="D237" s="385"/>
      <c r="E237" s="385"/>
      <c r="F237" s="386"/>
      <c r="G237" s="386"/>
      <c r="H237" s="386"/>
      <c r="I237" s="386"/>
      <c r="J237" s="386"/>
    </row>
    <row r="238" spans="1:10" ht="16.5">
      <c r="A238" s="398"/>
      <c r="B238" s="399"/>
      <c r="C238" s="385"/>
      <c r="D238" s="385"/>
      <c r="E238" s="385"/>
      <c r="F238" s="386"/>
      <c r="G238" s="386"/>
      <c r="H238" s="386"/>
      <c r="I238" s="386"/>
      <c r="J238" s="386"/>
    </row>
    <row r="239" spans="1:10" ht="16.5">
      <c r="A239" s="398"/>
      <c r="B239" s="399"/>
      <c r="C239" s="385"/>
      <c r="D239" s="385"/>
      <c r="E239" s="385"/>
      <c r="F239" s="386"/>
      <c r="G239" s="386"/>
      <c r="H239" s="386"/>
      <c r="I239" s="386"/>
      <c r="J239" s="386"/>
    </row>
    <row r="240" spans="1:10" ht="16.5">
      <c r="A240" s="398"/>
      <c r="B240" s="399"/>
      <c r="C240" s="385"/>
      <c r="D240" s="385"/>
      <c r="E240" s="385"/>
      <c r="F240" s="386"/>
      <c r="G240" s="386"/>
      <c r="H240" s="386"/>
      <c r="I240" s="386"/>
      <c r="J240" s="386"/>
    </row>
    <row r="241" spans="1:10" ht="16.5">
      <c r="A241" s="398"/>
      <c r="B241" s="399"/>
      <c r="C241" s="385"/>
      <c r="D241" s="385"/>
      <c r="E241" s="385"/>
      <c r="F241" s="386"/>
      <c r="G241" s="386"/>
      <c r="H241" s="386"/>
      <c r="I241" s="386"/>
      <c r="J241" s="386"/>
    </row>
    <row r="242" spans="1:10" ht="16.5">
      <c r="A242" s="398"/>
      <c r="B242" s="399"/>
      <c r="C242" s="385"/>
      <c r="D242" s="385"/>
      <c r="E242" s="385"/>
      <c r="F242" s="386"/>
      <c r="G242" s="386"/>
      <c r="H242" s="386"/>
      <c r="I242" s="386"/>
      <c r="J242" s="386"/>
    </row>
    <row r="243" spans="1:10" ht="16.5">
      <c r="A243" s="398"/>
      <c r="B243" s="399"/>
      <c r="C243" s="385"/>
      <c r="D243" s="385"/>
      <c r="E243" s="385"/>
      <c r="F243" s="386"/>
      <c r="G243" s="386"/>
      <c r="H243" s="386"/>
      <c r="I243" s="386"/>
      <c r="J243" s="386"/>
    </row>
    <row r="244" spans="1:10" ht="16.5">
      <c r="A244" s="398"/>
      <c r="B244" s="399"/>
      <c r="C244" s="385"/>
      <c r="D244" s="385"/>
      <c r="E244" s="385"/>
      <c r="F244" s="386"/>
      <c r="G244" s="386"/>
      <c r="H244" s="386"/>
      <c r="I244" s="386"/>
      <c r="J244" s="386"/>
    </row>
    <row r="245" spans="1:10" ht="16.5">
      <c r="A245" s="398"/>
      <c r="B245" s="399"/>
      <c r="C245" s="385"/>
      <c r="D245" s="385"/>
      <c r="E245" s="385"/>
      <c r="F245" s="386"/>
      <c r="G245" s="386"/>
      <c r="H245" s="386"/>
      <c r="I245" s="386"/>
      <c r="J245" s="386"/>
    </row>
    <row r="246" spans="1:10" ht="16.5">
      <c r="A246" s="398"/>
      <c r="B246" s="399"/>
      <c r="C246" s="385"/>
      <c r="D246" s="385"/>
      <c r="E246" s="385"/>
      <c r="F246" s="386"/>
      <c r="G246" s="386"/>
      <c r="H246" s="386"/>
      <c r="I246" s="386"/>
      <c r="J246" s="386"/>
    </row>
  </sheetData>
  <sheetProtection/>
  <mergeCells count="10">
    <mergeCell ref="F1:H1"/>
    <mergeCell ref="I1:J1"/>
    <mergeCell ref="B2:J2"/>
    <mergeCell ref="A3:J3"/>
    <mergeCell ref="E5:E6"/>
    <mergeCell ref="F5:J5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scale="80" r:id="rId1"/>
  <colBreaks count="1" manualBreakCount="1">
    <brk id="10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U235"/>
  <sheetViews>
    <sheetView view="pageBreakPreview" zoomScale="87" zoomScaleSheetLayoutView="87" zoomScalePageLayoutView="0" workbookViewId="0" topLeftCell="A4">
      <pane xSplit="3" ySplit="3" topLeftCell="D7" activePane="bottomRight" state="frozen"/>
      <selection pane="topLeft" activeCell="A4" sqref="A4"/>
      <selection pane="topRight" activeCell="D4" sqref="D4"/>
      <selection pane="bottomLeft" activeCell="A7" sqref="A7"/>
      <selection pane="bottomRight" activeCell="K5" sqref="K5"/>
    </sheetView>
  </sheetViews>
  <sheetFormatPr defaultColWidth="9.140625" defaultRowHeight="12.75"/>
  <cols>
    <col min="1" max="1" width="4.8515625" style="457" customWidth="1"/>
    <col min="2" max="2" width="37.8515625" style="446" customWidth="1"/>
    <col min="3" max="3" width="15.8515625" style="469" customWidth="1"/>
    <col min="4" max="4" width="13.7109375" style="457" customWidth="1"/>
    <col min="5" max="5" width="13.7109375" style="495" customWidth="1"/>
    <col min="6" max="8" width="13.140625" style="445" customWidth="1"/>
    <col min="9" max="9" width="13.140625" style="457" customWidth="1"/>
    <col min="10" max="10" width="14.8515625" style="445" customWidth="1"/>
    <col min="11" max="11" width="20.57421875" style="445" customWidth="1"/>
    <col min="12" max="12" width="14.421875" style="445" customWidth="1"/>
    <col min="13" max="13" width="14.28125" style="445" customWidth="1"/>
    <col min="14" max="14" width="13.8515625" style="445" customWidth="1"/>
    <col min="15" max="15" width="14.8515625" style="445" customWidth="1"/>
    <col min="16" max="16" width="18.140625" style="445" customWidth="1"/>
    <col min="17" max="17" width="14.8515625" style="445" customWidth="1"/>
    <col min="18" max="20" width="9.140625" style="445" customWidth="1"/>
    <col min="21" max="21" width="11.57421875" style="445" bestFit="1" customWidth="1"/>
    <col min="22" max="16384" width="9.140625" style="445" customWidth="1"/>
  </cols>
  <sheetData>
    <row r="1" spans="2:11" s="463" customFormat="1" ht="27.75" customHeight="1">
      <c r="B1" s="459" t="s">
        <v>383</v>
      </c>
      <c r="C1" s="464"/>
      <c r="D1" s="464"/>
      <c r="E1" s="493"/>
      <c r="H1" s="988" t="s">
        <v>560</v>
      </c>
      <c r="I1" s="988"/>
      <c r="J1" s="478" t="s">
        <v>566</v>
      </c>
      <c r="K1" s="478"/>
    </row>
    <row r="2" spans="1:11" ht="27.75" customHeight="1">
      <c r="A2" s="445"/>
      <c r="B2" s="991" t="str">
        <f>'BM6(B)'!B2:J2</f>
        <v>Huyện Tuần Giáo</v>
      </c>
      <c r="C2" s="991"/>
      <c r="D2" s="991"/>
      <c r="E2" s="991"/>
      <c r="F2" s="991"/>
      <c r="G2" s="991"/>
      <c r="H2" s="991"/>
      <c r="I2" s="991"/>
      <c r="J2" s="991"/>
      <c r="K2" s="480"/>
    </row>
    <row r="3" spans="1:11" ht="37.5" customHeight="1">
      <c r="A3" s="1060" t="s">
        <v>490</v>
      </c>
      <c r="B3" s="1061"/>
      <c r="C3" s="1061"/>
      <c r="D3" s="1061"/>
      <c r="E3" s="1061"/>
      <c r="F3" s="1061"/>
      <c r="G3" s="1061"/>
      <c r="H3" s="1061"/>
      <c r="I3" s="1061"/>
      <c r="J3" s="1061"/>
      <c r="K3" s="479"/>
    </row>
    <row r="4" spans="1:11" ht="33.75" customHeight="1">
      <c r="A4" s="990" t="s">
        <v>684</v>
      </c>
      <c r="B4" s="990" t="s">
        <v>436</v>
      </c>
      <c r="C4" s="990" t="s">
        <v>184</v>
      </c>
      <c r="D4" s="961" t="s">
        <v>563</v>
      </c>
      <c r="E4" s="961" t="s">
        <v>554</v>
      </c>
      <c r="F4" s="971" t="s">
        <v>562</v>
      </c>
      <c r="G4" s="972"/>
      <c r="H4" s="972"/>
      <c r="I4" s="972"/>
      <c r="J4" s="973"/>
      <c r="K4" s="479"/>
    </row>
    <row r="5" spans="1:11" s="448" customFormat="1" ht="33.75" customHeight="1">
      <c r="A5" s="990"/>
      <c r="B5" s="990"/>
      <c r="C5" s="990"/>
      <c r="D5" s="961"/>
      <c r="E5" s="961"/>
      <c r="F5" s="368" t="s">
        <v>555</v>
      </c>
      <c r="G5" s="368" t="s">
        <v>556</v>
      </c>
      <c r="H5" s="368" t="s">
        <v>557</v>
      </c>
      <c r="I5" s="368" t="s">
        <v>558</v>
      </c>
      <c r="J5" s="368" t="s">
        <v>559</v>
      </c>
      <c r="K5" s="482"/>
    </row>
    <row r="6" spans="1:21" s="892" customFormat="1" ht="22.5" customHeight="1">
      <c r="A6" s="887" t="s">
        <v>101</v>
      </c>
      <c r="B6" s="888" t="s">
        <v>341</v>
      </c>
      <c r="C6" s="889" t="s">
        <v>683</v>
      </c>
      <c r="D6" s="890">
        <f aca="true" t="shared" si="0" ref="D6:J6">SUM(D7:D11)</f>
        <v>4.154554159785</v>
      </c>
      <c r="E6" s="890">
        <f t="shared" si="0"/>
        <v>6.08088236546</v>
      </c>
      <c r="F6" s="890">
        <f t="shared" si="0"/>
        <v>1.1038488153</v>
      </c>
      <c r="G6" s="890">
        <f t="shared" si="0"/>
        <v>1.214816967</v>
      </c>
      <c r="H6" s="890">
        <f t="shared" si="0"/>
        <v>1.2333437684800002</v>
      </c>
      <c r="I6" s="890">
        <f t="shared" si="0"/>
        <v>1.2536561996800002</v>
      </c>
      <c r="J6" s="890">
        <f t="shared" si="0"/>
        <v>1.2752166149999997</v>
      </c>
      <c r="K6" s="891"/>
      <c r="T6" s="893"/>
      <c r="U6" s="893"/>
    </row>
    <row r="7" spans="1:21" s="892" customFormat="1" ht="22.5" customHeight="1">
      <c r="A7" s="894">
        <v>1</v>
      </c>
      <c r="B7" s="895" t="s">
        <v>502</v>
      </c>
      <c r="C7" s="896" t="s">
        <v>491</v>
      </c>
      <c r="D7" s="897">
        <f>'BM7'!K8</f>
        <v>1.11406788</v>
      </c>
      <c r="E7" s="897">
        <f>SUM(F7:J7)</f>
        <v>1.5521</v>
      </c>
      <c r="F7" s="897">
        <f>0.2475+0.06</f>
        <v>0.3075</v>
      </c>
      <c r="G7" s="897">
        <f>0.2455+0.07</f>
        <v>0.3155</v>
      </c>
      <c r="H7" s="897">
        <f>0.2497+0.07</f>
        <v>0.3197</v>
      </c>
      <c r="I7" s="897">
        <f>0.2497+0.06</f>
        <v>0.3097</v>
      </c>
      <c r="J7" s="897">
        <f>0.2497+0.05</f>
        <v>0.2997</v>
      </c>
      <c r="K7" s="891"/>
      <c r="T7" s="893"/>
      <c r="U7" s="893"/>
    </row>
    <row r="8" spans="1:21" s="892" customFormat="1" ht="22.5" customHeight="1">
      <c r="A8" s="894">
        <v>2</v>
      </c>
      <c r="B8" s="895" t="s">
        <v>503</v>
      </c>
      <c r="C8" s="896" t="s">
        <v>491</v>
      </c>
      <c r="D8" s="897">
        <f>'BM7'!K9</f>
        <v>0.0178999</v>
      </c>
      <c r="E8" s="897"/>
      <c r="F8" s="897"/>
      <c r="G8" s="897"/>
      <c r="H8" s="897"/>
      <c r="I8" s="897"/>
      <c r="J8" s="897"/>
      <c r="K8" s="891"/>
      <c r="T8" s="893"/>
      <c r="U8" s="893"/>
    </row>
    <row r="9" spans="1:21" s="892" customFormat="1" ht="22.5" customHeight="1">
      <c r="A9" s="894">
        <v>3</v>
      </c>
      <c r="B9" s="895" t="s">
        <v>504</v>
      </c>
      <c r="C9" s="896" t="s">
        <v>491</v>
      </c>
      <c r="D9" s="897"/>
      <c r="E9" s="897"/>
      <c r="F9" s="897"/>
      <c r="G9" s="897"/>
      <c r="H9" s="897"/>
      <c r="I9" s="897"/>
      <c r="J9" s="897"/>
      <c r="K9" s="891"/>
      <c r="T9" s="893"/>
      <c r="U9" s="893"/>
    </row>
    <row r="10" spans="1:21" s="892" customFormat="1" ht="22.5" customHeight="1">
      <c r="A10" s="894">
        <v>4</v>
      </c>
      <c r="B10" s="895" t="s">
        <v>505</v>
      </c>
      <c r="C10" s="896" t="s">
        <v>491</v>
      </c>
      <c r="D10" s="897">
        <f>'BM1CTTH(21-25)'!D38/1000-D8-D7-D11</f>
        <v>2.9689864797850007</v>
      </c>
      <c r="E10" s="897">
        <f>'BM1CTTH(21-25)'!E38/1000-E8-E7-E11</f>
        <v>4.52878236546</v>
      </c>
      <c r="F10" s="897">
        <f>'BM1CTTH(21-25)'!F38/1000-F8-F7-F11</f>
        <v>0.7963488152999999</v>
      </c>
      <c r="G10" s="897">
        <f>'BM1CTTH(21-25)'!G38/1000-G8-G7-G11</f>
        <v>0.899316967</v>
      </c>
      <c r="H10" s="897">
        <f>'BM1CTTH(21-25)'!H38/1000-H8-H7-H11</f>
        <v>0.9136437684800002</v>
      </c>
      <c r="I10" s="897">
        <f>'BM1CTTH(21-25)'!I38/1000-I8-I7-I11</f>
        <v>0.9439561996800002</v>
      </c>
      <c r="J10" s="897">
        <f>'BM1CTTH(21-25)'!J38/1000-J8-J7-J11</f>
        <v>0.9755166149999996</v>
      </c>
      <c r="K10" s="891"/>
      <c r="T10" s="893"/>
      <c r="U10" s="893"/>
    </row>
    <row r="11" spans="1:21" s="892" customFormat="1" ht="22.5" customHeight="1">
      <c r="A11" s="894">
        <v>5</v>
      </c>
      <c r="B11" s="895" t="s">
        <v>506</v>
      </c>
      <c r="C11" s="896" t="s">
        <v>491</v>
      </c>
      <c r="D11" s="897">
        <f>'BM7'!K12</f>
        <v>0.0535999</v>
      </c>
      <c r="E11" s="897"/>
      <c r="F11" s="897"/>
      <c r="G11" s="897"/>
      <c r="H11" s="897"/>
      <c r="I11" s="897"/>
      <c r="J11" s="897"/>
      <c r="K11" s="891"/>
      <c r="T11" s="893"/>
      <c r="U11" s="893"/>
    </row>
    <row r="12" spans="1:21" s="892" customFormat="1" ht="22.5" customHeight="1">
      <c r="A12" s="894"/>
      <c r="B12" s="895" t="s">
        <v>522</v>
      </c>
      <c r="C12" s="896" t="s">
        <v>491</v>
      </c>
      <c r="D12" s="662"/>
      <c r="E12" s="662"/>
      <c r="F12" s="662"/>
      <c r="G12" s="662"/>
      <c r="H12" s="662"/>
      <c r="I12" s="662"/>
      <c r="J12" s="662"/>
      <c r="K12" s="891"/>
      <c r="T12" s="893"/>
      <c r="U12" s="893"/>
    </row>
    <row r="13" spans="1:21" s="892" customFormat="1" ht="22.5" customHeight="1">
      <c r="A13" s="894"/>
      <c r="B13" s="895" t="s">
        <v>523</v>
      </c>
      <c r="C13" s="896" t="s">
        <v>491</v>
      </c>
      <c r="D13" s="662"/>
      <c r="E13" s="662"/>
      <c r="F13" s="662"/>
      <c r="G13" s="662"/>
      <c r="H13" s="662"/>
      <c r="I13" s="662"/>
      <c r="J13" s="662"/>
      <c r="K13" s="891"/>
      <c r="T13" s="893"/>
      <c r="U13" s="893"/>
    </row>
    <row r="14" spans="1:21" s="892" customFormat="1" ht="22.5" customHeight="1">
      <c r="A14" s="894"/>
      <c r="B14" s="895" t="s">
        <v>524</v>
      </c>
      <c r="C14" s="896" t="s">
        <v>491</v>
      </c>
      <c r="D14" s="662"/>
      <c r="E14" s="662"/>
      <c r="F14" s="662"/>
      <c r="G14" s="662"/>
      <c r="H14" s="662"/>
      <c r="I14" s="662"/>
      <c r="J14" s="662"/>
      <c r="K14" s="891"/>
      <c r="T14" s="893"/>
      <c r="U14" s="893"/>
    </row>
    <row r="15" spans="1:21" s="892" customFormat="1" ht="22.5" customHeight="1">
      <c r="A15" s="894"/>
      <c r="B15" s="895" t="s">
        <v>525</v>
      </c>
      <c r="C15" s="896" t="s">
        <v>491</v>
      </c>
      <c r="D15" s="662"/>
      <c r="E15" s="662"/>
      <c r="F15" s="662"/>
      <c r="G15" s="662"/>
      <c r="H15" s="662"/>
      <c r="I15" s="662"/>
      <c r="J15" s="662"/>
      <c r="K15" s="891"/>
      <c r="T15" s="893"/>
      <c r="U15" s="893"/>
    </row>
    <row r="16" spans="1:21" s="892" customFormat="1" ht="22.5" customHeight="1">
      <c r="A16" s="894">
        <v>6</v>
      </c>
      <c r="B16" s="895" t="s">
        <v>507</v>
      </c>
      <c r="C16" s="896" t="s">
        <v>491</v>
      </c>
      <c r="D16" s="662"/>
      <c r="E16" s="662"/>
      <c r="F16" s="662"/>
      <c r="G16" s="662"/>
      <c r="H16" s="662"/>
      <c r="I16" s="662"/>
      <c r="J16" s="662"/>
      <c r="K16" s="891"/>
      <c r="T16" s="893"/>
      <c r="U16" s="893"/>
    </row>
    <row r="17" spans="1:11" s="496" customFormat="1" ht="22.5" customHeight="1">
      <c r="A17" s="449" t="s">
        <v>102</v>
      </c>
      <c r="B17" s="373" t="s">
        <v>493</v>
      </c>
      <c r="C17" s="774"/>
      <c r="D17" s="910">
        <v>3.9210000000000003</v>
      </c>
      <c r="E17" s="898">
        <f>SUM(F17:J17)</f>
        <v>5.628902200000001</v>
      </c>
      <c r="F17" s="899">
        <v>0.922</v>
      </c>
      <c r="G17" s="899">
        <f>F17+(F17*10%)</f>
        <v>1.0142</v>
      </c>
      <c r="H17" s="899">
        <f>G17+(G17*10%)</f>
        <v>1.11562</v>
      </c>
      <c r="I17" s="899">
        <f>H17+(H17*10%)</f>
        <v>1.227182</v>
      </c>
      <c r="J17" s="899">
        <f>I17+(I17*10%)</f>
        <v>1.3499002</v>
      </c>
      <c r="K17" s="708"/>
    </row>
    <row r="18" spans="1:11" s="496" customFormat="1" ht="22.5" customHeight="1">
      <c r="A18" s="449"/>
      <c r="B18" s="375" t="s">
        <v>214</v>
      </c>
      <c r="C18" s="774"/>
      <c r="D18" s="910"/>
      <c r="E18" s="900">
        <f aca="true" t="shared" si="1" ref="E18:E27">SUM(F18:J18)</f>
        <v>0</v>
      </c>
      <c r="F18" s="899"/>
      <c r="G18" s="899"/>
      <c r="H18" s="899"/>
      <c r="I18" s="899"/>
      <c r="J18" s="899"/>
      <c r="K18" s="708"/>
    </row>
    <row r="19" spans="1:10" s="455" customFormat="1" ht="22.5" customHeight="1">
      <c r="A19" s="622">
        <v>1</v>
      </c>
      <c r="B19" s="376" t="s">
        <v>494</v>
      </c>
      <c r="C19" s="896" t="s">
        <v>491</v>
      </c>
      <c r="D19" s="914">
        <v>0.2479</v>
      </c>
      <c r="E19" s="900">
        <f>SUM(F19:J19)</f>
        <v>0.2686244</v>
      </c>
      <c r="F19" s="901">
        <v>0.044</v>
      </c>
      <c r="G19" s="901">
        <f>F19+(F19*10%)</f>
        <v>0.0484</v>
      </c>
      <c r="H19" s="901">
        <f>G19+(G19*10%)</f>
        <v>0.053239999999999996</v>
      </c>
      <c r="I19" s="901">
        <f>H19+(H19*10%)</f>
        <v>0.058564</v>
      </c>
      <c r="J19" s="901">
        <f>I19+(I19*10%)</f>
        <v>0.0644204</v>
      </c>
    </row>
    <row r="20" spans="1:10" s="455" customFormat="1" ht="22.5" customHeight="1">
      <c r="A20" s="622">
        <v>2</v>
      </c>
      <c r="B20" s="376" t="s">
        <v>438</v>
      </c>
      <c r="C20" s="896" t="s">
        <v>491</v>
      </c>
      <c r="D20" s="909"/>
      <c r="E20" s="900">
        <f t="shared" si="1"/>
        <v>0</v>
      </c>
      <c r="F20" s="902"/>
      <c r="G20" s="901"/>
      <c r="H20" s="901"/>
      <c r="I20" s="901"/>
      <c r="J20" s="901"/>
    </row>
    <row r="21" spans="1:10" s="455" customFormat="1" ht="22.5" customHeight="1">
      <c r="A21" s="526">
        <v>3</v>
      </c>
      <c r="B21" s="376" t="s">
        <v>495</v>
      </c>
      <c r="C21" s="896" t="s">
        <v>491</v>
      </c>
      <c r="D21" s="909"/>
      <c r="E21" s="900">
        <f t="shared" si="1"/>
        <v>0</v>
      </c>
      <c r="F21" s="902"/>
      <c r="G21" s="901"/>
      <c r="H21" s="901"/>
      <c r="I21" s="901"/>
      <c r="J21" s="901"/>
    </row>
    <row r="22" spans="1:10" s="455" customFormat="1" ht="22.5" customHeight="1">
      <c r="A22" s="622">
        <v>4</v>
      </c>
      <c r="B22" s="376" t="s">
        <v>496</v>
      </c>
      <c r="C22" s="896" t="s">
        <v>491</v>
      </c>
      <c r="D22" s="909"/>
      <c r="E22" s="900">
        <f t="shared" si="1"/>
        <v>0</v>
      </c>
      <c r="F22" s="902"/>
      <c r="G22" s="901"/>
      <c r="H22" s="901"/>
      <c r="I22" s="901"/>
      <c r="J22" s="901"/>
    </row>
    <row r="23" spans="1:10" s="455" customFormat="1" ht="22.5" customHeight="1">
      <c r="A23" s="622">
        <v>5</v>
      </c>
      <c r="B23" s="376" t="s">
        <v>508</v>
      </c>
      <c r="C23" s="896" t="s">
        <v>491</v>
      </c>
      <c r="D23" s="909">
        <v>3.40754</v>
      </c>
      <c r="E23" s="900">
        <f>SUM(F23:J23)</f>
        <v>5.372488</v>
      </c>
      <c r="F23" s="902">
        <v>0.88</v>
      </c>
      <c r="G23" s="901">
        <f aca="true" t="shared" si="2" ref="G23:J24">F23+(F23*10%)</f>
        <v>0.968</v>
      </c>
      <c r="H23" s="901">
        <f t="shared" si="2"/>
        <v>1.0648</v>
      </c>
      <c r="I23" s="901">
        <f t="shared" si="2"/>
        <v>1.1712799999999999</v>
      </c>
      <c r="J23" s="901">
        <f t="shared" si="2"/>
        <v>1.2884079999999998</v>
      </c>
    </row>
    <row r="24" spans="1:10" s="455" customFormat="1" ht="22.5" customHeight="1">
      <c r="A24" s="368" t="s">
        <v>115</v>
      </c>
      <c r="B24" s="373" t="s">
        <v>497</v>
      </c>
      <c r="C24" s="896" t="s">
        <v>491</v>
      </c>
      <c r="D24" s="911">
        <v>3.9198399999999998</v>
      </c>
      <c r="E24" s="898">
        <f t="shared" si="1"/>
        <v>5.628902200000001</v>
      </c>
      <c r="F24" s="899">
        <v>0.922</v>
      </c>
      <c r="G24" s="899">
        <f t="shared" si="2"/>
        <v>1.0142</v>
      </c>
      <c r="H24" s="899">
        <f t="shared" si="2"/>
        <v>1.11562</v>
      </c>
      <c r="I24" s="899">
        <f t="shared" si="2"/>
        <v>1.227182</v>
      </c>
      <c r="J24" s="899">
        <f t="shared" si="2"/>
        <v>1.3499002</v>
      </c>
    </row>
    <row r="25" spans="1:10" s="455" customFormat="1" ht="22.5" customHeight="1">
      <c r="A25" s="622"/>
      <c r="B25" s="375" t="s">
        <v>214</v>
      </c>
      <c r="C25" s="896" t="s">
        <v>491</v>
      </c>
      <c r="D25" s="909"/>
      <c r="E25" s="898">
        <f t="shared" si="1"/>
        <v>0</v>
      </c>
      <c r="F25" s="902"/>
      <c r="G25" s="899"/>
      <c r="H25" s="899"/>
      <c r="I25" s="899"/>
      <c r="J25" s="899"/>
    </row>
    <row r="26" spans="1:10" s="455" customFormat="1" ht="22.5" customHeight="1">
      <c r="A26" s="622">
        <v>1</v>
      </c>
      <c r="B26" s="376" t="s">
        <v>440</v>
      </c>
      <c r="C26" s="896" t="s">
        <v>491</v>
      </c>
      <c r="D26" s="909">
        <v>0.441118</v>
      </c>
      <c r="E26" s="900">
        <f t="shared" si="1"/>
        <v>0.8913445999999998</v>
      </c>
      <c r="F26" s="902">
        <v>0.146</v>
      </c>
      <c r="G26" s="901">
        <f aca="true" t="shared" si="3" ref="G26:J27">F26+(F26*10%)</f>
        <v>0.1606</v>
      </c>
      <c r="H26" s="901">
        <f t="shared" si="3"/>
        <v>0.17665999999999998</v>
      </c>
      <c r="I26" s="901">
        <f t="shared" si="3"/>
        <v>0.19432599999999997</v>
      </c>
      <c r="J26" s="901">
        <f t="shared" si="3"/>
        <v>0.21375859999999997</v>
      </c>
    </row>
    <row r="27" spans="1:10" s="455" customFormat="1" ht="22.5" customHeight="1">
      <c r="A27" s="526">
        <v>2</v>
      </c>
      <c r="B27" s="376" t="s">
        <v>439</v>
      </c>
      <c r="C27" s="896" t="s">
        <v>491</v>
      </c>
      <c r="D27" s="909">
        <v>3.1733299999999995</v>
      </c>
      <c r="E27" s="900">
        <f t="shared" si="1"/>
        <v>4.7375576</v>
      </c>
      <c r="F27" s="902">
        <f>F24-F26</f>
        <v>0.776</v>
      </c>
      <c r="G27" s="901">
        <f t="shared" si="3"/>
        <v>0.8536</v>
      </c>
      <c r="H27" s="901">
        <f t="shared" si="3"/>
        <v>0.93896</v>
      </c>
      <c r="I27" s="901">
        <f t="shared" si="3"/>
        <v>1.032856</v>
      </c>
      <c r="J27" s="901">
        <f t="shared" si="3"/>
        <v>1.1361416</v>
      </c>
    </row>
    <row r="28" spans="1:10" s="455" customFormat="1" ht="22.5" customHeight="1">
      <c r="A28" s="453">
        <v>3</v>
      </c>
      <c r="B28" s="709" t="s">
        <v>441</v>
      </c>
      <c r="C28" s="775"/>
      <c r="D28" s="912"/>
      <c r="E28" s="505"/>
      <c r="F28" s="903"/>
      <c r="G28" s="903"/>
      <c r="H28" s="903"/>
      <c r="I28" s="903"/>
      <c r="J28" s="903"/>
    </row>
    <row r="29" spans="1:10" s="455" customFormat="1" ht="39" customHeight="1">
      <c r="A29" s="453">
        <v>4</v>
      </c>
      <c r="B29" s="913" t="s">
        <v>706</v>
      </c>
      <c r="C29" s="775"/>
      <c r="D29" s="912">
        <v>0.30539200000000033</v>
      </c>
      <c r="E29" s="505"/>
      <c r="F29" s="903"/>
      <c r="G29" s="903"/>
      <c r="H29" s="903"/>
      <c r="I29" s="903"/>
      <c r="J29" s="903"/>
    </row>
    <row r="30" spans="1:10" s="496" customFormat="1" ht="22.5" customHeight="1">
      <c r="A30" s="449" t="s">
        <v>116</v>
      </c>
      <c r="B30" s="373" t="s">
        <v>498</v>
      </c>
      <c r="C30" s="896" t="s">
        <v>491</v>
      </c>
      <c r="D30" s="904"/>
      <c r="E30" s="431"/>
      <c r="F30" s="904"/>
      <c r="G30" s="904"/>
      <c r="H30" s="904"/>
      <c r="I30" s="904"/>
      <c r="J30" s="904"/>
    </row>
    <row r="31" spans="1:10" s="455" customFormat="1" ht="22.5" customHeight="1">
      <c r="A31" s="622">
        <v>1</v>
      </c>
      <c r="B31" s="376" t="s">
        <v>499</v>
      </c>
      <c r="C31" s="896" t="s">
        <v>491</v>
      </c>
      <c r="D31" s="903"/>
      <c r="E31" s="505"/>
      <c r="F31" s="903"/>
      <c r="G31" s="903"/>
      <c r="H31" s="903"/>
      <c r="I31" s="903"/>
      <c r="J31" s="903"/>
    </row>
    <row r="32" spans="1:10" s="455" customFormat="1" ht="22.5" customHeight="1">
      <c r="A32" s="622">
        <v>2</v>
      </c>
      <c r="B32" s="376" t="s">
        <v>500</v>
      </c>
      <c r="C32" s="896" t="s">
        <v>491</v>
      </c>
      <c r="D32" s="903"/>
      <c r="E32" s="505"/>
      <c r="F32" s="903"/>
      <c r="G32" s="903"/>
      <c r="H32" s="903"/>
      <c r="I32" s="903"/>
      <c r="J32" s="903"/>
    </row>
    <row r="33" spans="1:10" s="455" customFormat="1" ht="22.5" customHeight="1">
      <c r="A33" s="624" t="s">
        <v>501</v>
      </c>
      <c r="B33" s="373" t="s">
        <v>343</v>
      </c>
      <c r="C33" s="775"/>
      <c r="D33" s="903"/>
      <c r="E33" s="505"/>
      <c r="F33" s="903"/>
      <c r="G33" s="903"/>
      <c r="H33" s="903"/>
      <c r="I33" s="903"/>
      <c r="J33" s="903"/>
    </row>
    <row r="34" spans="1:11" ht="16.5" customHeight="1">
      <c r="A34" s="454"/>
      <c r="B34" s="456"/>
      <c r="C34" s="468"/>
      <c r="D34" s="770"/>
      <c r="E34" s="771"/>
      <c r="F34" s="770"/>
      <c r="G34" s="770"/>
      <c r="H34" s="770"/>
      <c r="I34" s="770"/>
      <c r="J34" s="770"/>
      <c r="K34" s="455"/>
    </row>
    <row r="35" spans="1:11" ht="16.5">
      <c r="A35" s="454"/>
      <c r="B35" s="456"/>
      <c r="C35" s="468"/>
      <c r="D35" s="454"/>
      <c r="E35" s="494"/>
      <c r="F35" s="455"/>
      <c r="G35" s="455"/>
      <c r="H35" s="455"/>
      <c r="I35" s="454"/>
      <c r="J35" s="455"/>
      <c r="K35" s="455"/>
    </row>
    <row r="36" spans="1:11" ht="16.5" customHeight="1">
      <c r="A36" s="454"/>
      <c r="B36" s="456"/>
      <c r="C36" s="468"/>
      <c r="D36" s="454"/>
      <c r="E36" s="494"/>
      <c r="F36" s="455"/>
      <c r="G36" s="455"/>
      <c r="H36" s="455"/>
      <c r="I36" s="454"/>
      <c r="J36" s="455"/>
      <c r="K36" s="455"/>
    </row>
    <row r="37" spans="1:11" ht="16.5">
      <c r="A37" s="454"/>
      <c r="B37" s="456"/>
      <c r="C37" s="468"/>
      <c r="D37" s="454"/>
      <c r="E37" s="494"/>
      <c r="F37" s="455"/>
      <c r="G37" s="455"/>
      <c r="H37" s="455"/>
      <c r="I37" s="454"/>
      <c r="J37" s="455"/>
      <c r="K37" s="455"/>
    </row>
    <row r="38" spans="1:11" ht="16.5" customHeight="1">
      <c r="A38" s="454"/>
      <c r="B38" s="456"/>
      <c r="C38" s="468"/>
      <c r="D38" s="454"/>
      <c r="E38" s="494"/>
      <c r="F38" s="455"/>
      <c r="G38" s="455"/>
      <c r="H38" s="455"/>
      <c r="I38" s="454"/>
      <c r="J38" s="455"/>
      <c r="K38" s="455"/>
    </row>
    <row r="39" spans="1:11" ht="16.5">
      <c r="A39" s="454"/>
      <c r="B39" s="456"/>
      <c r="C39" s="468"/>
      <c r="D39" s="454"/>
      <c r="E39" s="494"/>
      <c r="F39" s="455"/>
      <c r="G39" s="455"/>
      <c r="H39" s="455"/>
      <c r="I39" s="454"/>
      <c r="J39" s="455"/>
      <c r="K39" s="455"/>
    </row>
    <row r="40" spans="1:11" ht="16.5" customHeight="1">
      <c r="A40" s="454"/>
      <c r="B40" s="456"/>
      <c r="C40" s="468"/>
      <c r="D40" s="454"/>
      <c r="E40" s="494"/>
      <c r="F40" s="455"/>
      <c r="G40" s="455"/>
      <c r="H40" s="455"/>
      <c r="I40" s="454"/>
      <c r="J40" s="455"/>
      <c r="K40" s="455"/>
    </row>
    <row r="41" spans="1:11" ht="16.5">
      <c r="A41" s="454"/>
      <c r="B41" s="456"/>
      <c r="C41" s="468"/>
      <c r="D41" s="454"/>
      <c r="E41" s="494"/>
      <c r="F41" s="455"/>
      <c r="G41" s="455"/>
      <c r="H41" s="455"/>
      <c r="I41" s="454"/>
      <c r="J41" s="455"/>
      <c r="K41" s="455"/>
    </row>
    <row r="42" spans="1:11" ht="16.5" customHeight="1">
      <c r="A42" s="454"/>
      <c r="B42" s="456"/>
      <c r="C42" s="468"/>
      <c r="D42" s="454"/>
      <c r="E42" s="494"/>
      <c r="F42" s="455"/>
      <c r="G42" s="455"/>
      <c r="H42" s="455"/>
      <c r="I42" s="454"/>
      <c r="J42" s="455"/>
      <c r="K42" s="455"/>
    </row>
    <row r="43" spans="1:11" ht="16.5">
      <c r="A43" s="454"/>
      <c r="B43" s="456"/>
      <c r="C43" s="468"/>
      <c r="D43" s="454"/>
      <c r="E43" s="494"/>
      <c r="F43" s="455"/>
      <c r="G43" s="455"/>
      <c r="H43" s="455"/>
      <c r="I43" s="454"/>
      <c r="J43" s="455"/>
      <c r="K43" s="455"/>
    </row>
    <row r="44" spans="1:11" ht="16.5" customHeight="1">
      <c r="A44" s="454"/>
      <c r="B44" s="456"/>
      <c r="C44" s="468"/>
      <c r="D44" s="454"/>
      <c r="E44" s="494"/>
      <c r="F44" s="455"/>
      <c r="G44" s="455"/>
      <c r="H44" s="455"/>
      <c r="I44" s="454"/>
      <c r="J44" s="455"/>
      <c r="K44" s="455"/>
    </row>
    <row r="45" spans="1:11" ht="16.5">
      <c r="A45" s="454"/>
      <c r="B45" s="456"/>
      <c r="C45" s="468"/>
      <c r="D45" s="454"/>
      <c r="E45" s="494"/>
      <c r="F45" s="455"/>
      <c r="G45" s="455"/>
      <c r="H45" s="455"/>
      <c r="I45" s="454"/>
      <c r="J45" s="455"/>
      <c r="K45" s="455"/>
    </row>
    <row r="46" spans="1:11" ht="16.5" customHeight="1">
      <c r="A46" s="454"/>
      <c r="B46" s="456"/>
      <c r="C46" s="468"/>
      <c r="D46" s="454"/>
      <c r="E46" s="494"/>
      <c r="F46" s="455"/>
      <c r="G46" s="455"/>
      <c r="H46" s="455"/>
      <c r="I46" s="454"/>
      <c r="J46" s="455"/>
      <c r="K46" s="455"/>
    </row>
    <row r="47" spans="1:11" ht="16.5">
      <c r="A47" s="454"/>
      <c r="B47" s="456"/>
      <c r="C47" s="468"/>
      <c r="D47" s="454"/>
      <c r="E47" s="494"/>
      <c r="F47" s="455"/>
      <c r="G47" s="455"/>
      <c r="H47" s="455"/>
      <c r="I47" s="454"/>
      <c r="J47" s="455"/>
      <c r="K47" s="455"/>
    </row>
    <row r="48" spans="1:11" ht="16.5" customHeight="1">
      <c r="A48" s="454"/>
      <c r="B48" s="456"/>
      <c r="C48" s="468"/>
      <c r="D48" s="454"/>
      <c r="E48" s="494"/>
      <c r="F48" s="455"/>
      <c r="G48" s="455"/>
      <c r="H48" s="455"/>
      <c r="I48" s="454"/>
      <c r="J48" s="455"/>
      <c r="K48" s="455"/>
    </row>
    <row r="49" spans="1:11" ht="16.5">
      <c r="A49" s="454"/>
      <c r="B49" s="456"/>
      <c r="C49" s="468"/>
      <c r="D49" s="454"/>
      <c r="E49" s="494"/>
      <c r="F49" s="455"/>
      <c r="G49" s="455"/>
      <c r="H49" s="455"/>
      <c r="I49" s="454"/>
      <c r="J49" s="455"/>
      <c r="K49" s="455"/>
    </row>
    <row r="50" spans="1:11" ht="16.5" customHeight="1">
      <c r="A50" s="454"/>
      <c r="B50" s="456"/>
      <c r="C50" s="468"/>
      <c r="D50" s="454"/>
      <c r="E50" s="494"/>
      <c r="F50" s="455"/>
      <c r="G50" s="455"/>
      <c r="H50" s="455"/>
      <c r="I50" s="454"/>
      <c r="J50" s="455"/>
      <c r="K50" s="455"/>
    </row>
    <row r="51" spans="1:11" ht="16.5">
      <c r="A51" s="454"/>
      <c r="B51" s="456"/>
      <c r="C51" s="468"/>
      <c r="D51" s="454"/>
      <c r="E51" s="494"/>
      <c r="F51" s="455"/>
      <c r="G51" s="455"/>
      <c r="H51" s="455"/>
      <c r="I51" s="454"/>
      <c r="J51" s="455"/>
      <c r="K51" s="455"/>
    </row>
    <row r="52" spans="1:11" ht="16.5" customHeight="1">
      <c r="A52" s="454"/>
      <c r="B52" s="456"/>
      <c r="C52" s="468"/>
      <c r="D52" s="454"/>
      <c r="E52" s="494"/>
      <c r="F52" s="455"/>
      <c r="G52" s="455"/>
      <c r="H52" s="455"/>
      <c r="I52" s="454"/>
      <c r="J52" s="455"/>
      <c r="K52" s="455"/>
    </row>
    <row r="53" spans="1:11" ht="16.5">
      <c r="A53" s="454"/>
      <c r="B53" s="456"/>
      <c r="C53" s="468"/>
      <c r="D53" s="454"/>
      <c r="E53" s="494"/>
      <c r="F53" s="455"/>
      <c r="G53" s="455"/>
      <c r="H53" s="455"/>
      <c r="I53" s="454"/>
      <c r="J53" s="455"/>
      <c r="K53" s="455"/>
    </row>
    <row r="54" spans="1:11" ht="16.5" customHeight="1">
      <c r="A54" s="454"/>
      <c r="B54" s="456"/>
      <c r="C54" s="468"/>
      <c r="D54" s="454"/>
      <c r="E54" s="494"/>
      <c r="F54" s="455"/>
      <c r="G54" s="455"/>
      <c r="H54" s="455"/>
      <c r="I54" s="454"/>
      <c r="J54" s="455"/>
      <c r="K54" s="455"/>
    </row>
    <row r="55" spans="1:11" ht="16.5">
      <c r="A55" s="454"/>
      <c r="B55" s="456"/>
      <c r="C55" s="468"/>
      <c r="D55" s="454"/>
      <c r="E55" s="494"/>
      <c r="F55" s="455"/>
      <c r="G55" s="455"/>
      <c r="H55" s="455"/>
      <c r="I55" s="454"/>
      <c r="J55" s="455"/>
      <c r="K55" s="455"/>
    </row>
    <row r="56" spans="1:11" ht="16.5" customHeight="1">
      <c r="A56" s="454"/>
      <c r="B56" s="456"/>
      <c r="C56" s="468"/>
      <c r="D56" s="454"/>
      <c r="E56" s="494"/>
      <c r="F56" s="455"/>
      <c r="G56" s="455"/>
      <c r="H56" s="455"/>
      <c r="I56" s="454"/>
      <c r="J56" s="455"/>
      <c r="K56" s="455"/>
    </row>
    <row r="57" spans="1:11" ht="16.5">
      <c r="A57" s="454"/>
      <c r="B57" s="456"/>
      <c r="C57" s="468"/>
      <c r="D57" s="454"/>
      <c r="E57" s="494"/>
      <c r="F57" s="455"/>
      <c r="G57" s="455"/>
      <c r="H57" s="455"/>
      <c r="I57" s="454"/>
      <c r="J57" s="455"/>
      <c r="K57" s="455"/>
    </row>
    <row r="58" spans="1:11" ht="16.5" customHeight="1">
      <c r="A58" s="454"/>
      <c r="B58" s="456"/>
      <c r="C58" s="468"/>
      <c r="D58" s="454"/>
      <c r="E58" s="494"/>
      <c r="F58" s="455"/>
      <c r="G58" s="455"/>
      <c r="H58" s="455"/>
      <c r="I58" s="454"/>
      <c r="J58" s="455"/>
      <c r="K58" s="455"/>
    </row>
    <row r="59" spans="1:11" ht="16.5">
      <c r="A59" s="454"/>
      <c r="B59" s="456"/>
      <c r="C59" s="468"/>
      <c r="D59" s="454"/>
      <c r="E59" s="494"/>
      <c r="F59" s="455"/>
      <c r="G59" s="455"/>
      <c r="H59" s="455"/>
      <c r="I59" s="454"/>
      <c r="J59" s="455"/>
      <c r="K59" s="455"/>
    </row>
    <row r="60" spans="1:11" ht="16.5" customHeight="1">
      <c r="A60" s="454"/>
      <c r="B60" s="456"/>
      <c r="C60" s="468"/>
      <c r="D60" s="454"/>
      <c r="E60" s="494"/>
      <c r="F60" s="455"/>
      <c r="G60" s="455"/>
      <c r="H60" s="455"/>
      <c r="I60" s="454"/>
      <c r="J60" s="455"/>
      <c r="K60" s="455"/>
    </row>
    <row r="61" spans="1:11" ht="16.5">
      <c r="A61" s="454"/>
      <c r="B61" s="456"/>
      <c r="C61" s="468"/>
      <c r="D61" s="454"/>
      <c r="E61" s="494"/>
      <c r="F61" s="455"/>
      <c r="G61" s="455"/>
      <c r="H61" s="455"/>
      <c r="I61" s="454"/>
      <c r="J61" s="455"/>
      <c r="K61" s="455"/>
    </row>
    <row r="62" spans="1:11" ht="16.5" customHeight="1">
      <c r="A62" s="454"/>
      <c r="B62" s="456"/>
      <c r="C62" s="468"/>
      <c r="D62" s="454"/>
      <c r="E62" s="494"/>
      <c r="F62" s="455"/>
      <c r="G62" s="455"/>
      <c r="H62" s="455"/>
      <c r="I62" s="454"/>
      <c r="J62" s="455"/>
      <c r="K62" s="455"/>
    </row>
    <row r="63" spans="1:11" ht="16.5">
      <c r="A63" s="454"/>
      <c r="B63" s="456"/>
      <c r="C63" s="468"/>
      <c r="D63" s="454"/>
      <c r="E63" s="494"/>
      <c r="F63" s="455"/>
      <c r="G63" s="455"/>
      <c r="H63" s="455"/>
      <c r="I63" s="454"/>
      <c r="J63" s="455"/>
      <c r="K63" s="455"/>
    </row>
    <row r="64" spans="1:11" ht="16.5" customHeight="1">
      <c r="A64" s="454"/>
      <c r="B64" s="456"/>
      <c r="C64" s="468"/>
      <c r="D64" s="454"/>
      <c r="E64" s="494"/>
      <c r="F64" s="455"/>
      <c r="G64" s="455"/>
      <c r="H64" s="455"/>
      <c r="I64" s="454"/>
      <c r="J64" s="455"/>
      <c r="K64" s="455"/>
    </row>
    <row r="65" spans="1:11" ht="16.5">
      <c r="A65" s="454"/>
      <c r="B65" s="456"/>
      <c r="C65" s="468"/>
      <c r="D65" s="454"/>
      <c r="E65" s="494"/>
      <c r="F65" s="455"/>
      <c r="G65" s="455"/>
      <c r="H65" s="455"/>
      <c r="I65" s="454"/>
      <c r="J65" s="455"/>
      <c r="K65" s="455"/>
    </row>
    <row r="66" spans="1:11" ht="16.5" customHeight="1">
      <c r="A66" s="454"/>
      <c r="B66" s="456"/>
      <c r="C66" s="468"/>
      <c r="D66" s="454"/>
      <c r="E66" s="494"/>
      <c r="F66" s="455"/>
      <c r="G66" s="455"/>
      <c r="H66" s="455"/>
      <c r="I66" s="454"/>
      <c r="J66" s="455"/>
      <c r="K66" s="455"/>
    </row>
    <row r="67" spans="1:11" ht="16.5">
      <c r="A67" s="454"/>
      <c r="B67" s="456"/>
      <c r="C67" s="468"/>
      <c r="D67" s="454"/>
      <c r="E67" s="494"/>
      <c r="F67" s="455"/>
      <c r="G67" s="455"/>
      <c r="H67" s="455"/>
      <c r="I67" s="454"/>
      <c r="J67" s="455"/>
      <c r="K67" s="455"/>
    </row>
    <row r="68" spans="1:11" ht="16.5" customHeight="1">
      <c r="A68" s="454"/>
      <c r="B68" s="456"/>
      <c r="C68" s="468"/>
      <c r="D68" s="454"/>
      <c r="E68" s="494"/>
      <c r="F68" s="455"/>
      <c r="G68" s="455"/>
      <c r="H68" s="455"/>
      <c r="I68" s="454"/>
      <c r="J68" s="455"/>
      <c r="K68" s="455"/>
    </row>
    <row r="69" spans="1:11" ht="16.5">
      <c r="A69" s="454"/>
      <c r="B69" s="456"/>
      <c r="C69" s="468"/>
      <c r="D69" s="454"/>
      <c r="E69" s="494"/>
      <c r="F69" s="455"/>
      <c r="G69" s="455"/>
      <c r="H69" s="455"/>
      <c r="I69" s="454"/>
      <c r="J69" s="455"/>
      <c r="K69" s="455"/>
    </row>
    <row r="70" spans="1:11" ht="16.5" customHeight="1">
      <c r="A70" s="454"/>
      <c r="B70" s="456"/>
      <c r="C70" s="468"/>
      <c r="D70" s="454"/>
      <c r="E70" s="494"/>
      <c r="F70" s="455"/>
      <c r="G70" s="455"/>
      <c r="H70" s="455"/>
      <c r="I70" s="454"/>
      <c r="J70" s="455"/>
      <c r="K70" s="455"/>
    </row>
    <row r="71" spans="1:11" ht="16.5">
      <c r="A71" s="454"/>
      <c r="B71" s="456"/>
      <c r="C71" s="468"/>
      <c r="D71" s="454"/>
      <c r="E71" s="494"/>
      <c r="F71" s="455"/>
      <c r="G71" s="455"/>
      <c r="H71" s="455"/>
      <c r="I71" s="454"/>
      <c r="J71" s="455"/>
      <c r="K71" s="455"/>
    </row>
    <row r="72" spans="1:11" ht="16.5" customHeight="1">
      <c r="A72" s="454"/>
      <c r="B72" s="456"/>
      <c r="C72" s="468"/>
      <c r="D72" s="454"/>
      <c r="E72" s="494"/>
      <c r="F72" s="455"/>
      <c r="G72" s="455"/>
      <c r="H72" s="455"/>
      <c r="I72" s="454"/>
      <c r="J72" s="455"/>
      <c r="K72" s="455"/>
    </row>
    <row r="73" spans="1:11" ht="16.5">
      <c r="A73" s="454"/>
      <c r="B73" s="456"/>
      <c r="C73" s="468"/>
      <c r="D73" s="454"/>
      <c r="E73" s="494"/>
      <c r="F73" s="455"/>
      <c r="G73" s="455"/>
      <c r="H73" s="455"/>
      <c r="I73" s="454"/>
      <c r="J73" s="455"/>
      <c r="K73" s="455"/>
    </row>
    <row r="74" spans="1:11" ht="16.5" customHeight="1">
      <c r="A74" s="454"/>
      <c r="B74" s="456"/>
      <c r="C74" s="468"/>
      <c r="D74" s="454"/>
      <c r="E74" s="494"/>
      <c r="F74" s="455"/>
      <c r="G74" s="455"/>
      <c r="H74" s="455"/>
      <c r="I74" s="454"/>
      <c r="J74" s="455"/>
      <c r="K74" s="455"/>
    </row>
    <row r="75" spans="1:11" ht="16.5">
      <c r="A75" s="454"/>
      <c r="B75" s="456"/>
      <c r="C75" s="468"/>
      <c r="D75" s="454"/>
      <c r="E75" s="494"/>
      <c r="F75" s="455"/>
      <c r="G75" s="455"/>
      <c r="H75" s="455"/>
      <c r="I75" s="454"/>
      <c r="J75" s="455"/>
      <c r="K75" s="455"/>
    </row>
    <row r="76" spans="1:11" ht="16.5" customHeight="1">
      <c r="A76" s="454"/>
      <c r="B76" s="456"/>
      <c r="C76" s="468"/>
      <c r="D76" s="454"/>
      <c r="E76" s="494"/>
      <c r="F76" s="455"/>
      <c r="G76" s="455"/>
      <c r="H76" s="455"/>
      <c r="I76" s="454"/>
      <c r="J76" s="455"/>
      <c r="K76" s="455"/>
    </row>
    <row r="77" spans="1:11" ht="16.5">
      <c r="A77" s="454"/>
      <c r="B77" s="456"/>
      <c r="C77" s="468"/>
      <c r="D77" s="454"/>
      <c r="E77" s="494"/>
      <c r="F77" s="455"/>
      <c r="G77" s="455"/>
      <c r="H77" s="455"/>
      <c r="I77" s="454"/>
      <c r="J77" s="455"/>
      <c r="K77" s="455"/>
    </row>
    <row r="78" spans="1:11" ht="16.5" customHeight="1">
      <c r="A78" s="454"/>
      <c r="B78" s="456"/>
      <c r="C78" s="468"/>
      <c r="D78" s="454"/>
      <c r="E78" s="494"/>
      <c r="F78" s="455"/>
      <c r="G78" s="455"/>
      <c r="H78" s="455"/>
      <c r="I78" s="454"/>
      <c r="J78" s="455"/>
      <c r="K78" s="455"/>
    </row>
    <row r="79" spans="1:11" ht="16.5">
      <c r="A79" s="454"/>
      <c r="B79" s="456"/>
      <c r="C79" s="468"/>
      <c r="D79" s="454"/>
      <c r="E79" s="494"/>
      <c r="F79" s="455"/>
      <c r="G79" s="455"/>
      <c r="H79" s="455"/>
      <c r="I79" s="454"/>
      <c r="J79" s="455"/>
      <c r="K79" s="455"/>
    </row>
    <row r="80" spans="1:11" ht="16.5" customHeight="1">
      <c r="A80" s="454"/>
      <c r="B80" s="456"/>
      <c r="C80" s="468"/>
      <c r="D80" s="454"/>
      <c r="E80" s="494"/>
      <c r="F80" s="455"/>
      <c r="G80" s="455"/>
      <c r="H80" s="455"/>
      <c r="I80" s="454"/>
      <c r="J80" s="455"/>
      <c r="K80" s="455"/>
    </row>
    <row r="81" spans="1:11" ht="16.5">
      <c r="A81" s="454"/>
      <c r="B81" s="456"/>
      <c r="C81" s="468"/>
      <c r="D81" s="454"/>
      <c r="E81" s="494"/>
      <c r="F81" s="455"/>
      <c r="G81" s="455"/>
      <c r="H81" s="455"/>
      <c r="I81" s="454"/>
      <c r="J81" s="455"/>
      <c r="K81" s="455"/>
    </row>
    <row r="82" spans="1:11" ht="16.5" customHeight="1">
      <c r="A82" s="454"/>
      <c r="B82" s="456"/>
      <c r="C82" s="468"/>
      <c r="D82" s="454"/>
      <c r="E82" s="494"/>
      <c r="F82" s="455"/>
      <c r="G82" s="455"/>
      <c r="H82" s="455"/>
      <c r="I82" s="454"/>
      <c r="J82" s="455"/>
      <c r="K82" s="455"/>
    </row>
    <row r="83" spans="1:11" ht="16.5">
      <c r="A83" s="454"/>
      <c r="B83" s="456"/>
      <c r="C83" s="468"/>
      <c r="D83" s="454"/>
      <c r="E83" s="494"/>
      <c r="F83" s="455"/>
      <c r="G83" s="455"/>
      <c r="H83" s="455"/>
      <c r="I83" s="454"/>
      <c r="J83" s="455"/>
      <c r="K83" s="455"/>
    </row>
    <row r="84" spans="1:11" ht="16.5" customHeight="1">
      <c r="A84" s="454"/>
      <c r="B84" s="456"/>
      <c r="C84" s="468"/>
      <c r="D84" s="454"/>
      <c r="E84" s="494"/>
      <c r="F84" s="455"/>
      <c r="G84" s="455"/>
      <c r="H84" s="455"/>
      <c r="I84" s="454"/>
      <c r="J84" s="455"/>
      <c r="K84" s="455"/>
    </row>
    <row r="85" spans="1:11" ht="16.5">
      <c r="A85" s="454"/>
      <c r="B85" s="456"/>
      <c r="C85" s="468"/>
      <c r="D85" s="454"/>
      <c r="E85" s="494"/>
      <c r="F85" s="455"/>
      <c r="G85" s="455"/>
      <c r="H85" s="455"/>
      <c r="I85" s="454"/>
      <c r="J85" s="455"/>
      <c r="K85" s="455"/>
    </row>
    <row r="86" spans="1:11" ht="16.5" customHeight="1">
      <c r="A86" s="454"/>
      <c r="B86" s="456"/>
      <c r="C86" s="468"/>
      <c r="D86" s="454"/>
      <c r="E86" s="494"/>
      <c r="F86" s="455"/>
      <c r="G86" s="455"/>
      <c r="H86" s="455"/>
      <c r="I86" s="454"/>
      <c r="J86" s="455"/>
      <c r="K86" s="455"/>
    </row>
    <row r="87" spans="1:11" ht="16.5">
      <c r="A87" s="454"/>
      <c r="B87" s="456"/>
      <c r="C87" s="468"/>
      <c r="D87" s="454"/>
      <c r="E87" s="494"/>
      <c r="F87" s="455"/>
      <c r="G87" s="455"/>
      <c r="H87" s="455"/>
      <c r="I87" s="454"/>
      <c r="J87" s="455"/>
      <c r="K87" s="455"/>
    </row>
    <row r="88" spans="1:11" ht="16.5" customHeight="1">
      <c r="A88" s="454"/>
      <c r="B88" s="456"/>
      <c r="C88" s="468"/>
      <c r="D88" s="454"/>
      <c r="E88" s="494"/>
      <c r="F88" s="455"/>
      <c r="G88" s="455"/>
      <c r="H88" s="455"/>
      <c r="I88" s="454"/>
      <c r="J88" s="455"/>
      <c r="K88" s="455"/>
    </row>
    <row r="89" spans="1:11" ht="16.5">
      <c r="A89" s="454"/>
      <c r="B89" s="456"/>
      <c r="C89" s="468"/>
      <c r="D89" s="454"/>
      <c r="E89" s="494"/>
      <c r="F89" s="455"/>
      <c r="G89" s="455"/>
      <c r="H89" s="455"/>
      <c r="I89" s="454"/>
      <c r="J89" s="455"/>
      <c r="K89" s="455"/>
    </row>
    <row r="90" spans="1:11" ht="16.5" customHeight="1">
      <c r="A90" s="454"/>
      <c r="B90" s="456"/>
      <c r="C90" s="468"/>
      <c r="D90" s="454"/>
      <c r="E90" s="494"/>
      <c r="F90" s="455"/>
      <c r="G90" s="455"/>
      <c r="H90" s="455"/>
      <c r="I90" s="454"/>
      <c r="J90" s="455"/>
      <c r="K90" s="455"/>
    </row>
    <row r="91" spans="1:11" ht="16.5">
      <c r="A91" s="454"/>
      <c r="B91" s="456"/>
      <c r="C91" s="468"/>
      <c r="D91" s="454"/>
      <c r="E91" s="494"/>
      <c r="F91" s="455"/>
      <c r="G91" s="455"/>
      <c r="H91" s="455"/>
      <c r="I91" s="454"/>
      <c r="J91" s="455"/>
      <c r="K91" s="455"/>
    </row>
    <row r="92" spans="1:11" ht="16.5" customHeight="1">
      <c r="A92" s="454"/>
      <c r="B92" s="456"/>
      <c r="C92" s="468"/>
      <c r="D92" s="454"/>
      <c r="E92" s="494"/>
      <c r="F92" s="455"/>
      <c r="G92" s="455"/>
      <c r="H92" s="455"/>
      <c r="I92" s="454"/>
      <c r="J92" s="455"/>
      <c r="K92" s="455"/>
    </row>
    <row r="93" spans="1:11" ht="16.5">
      <c r="A93" s="454"/>
      <c r="B93" s="456"/>
      <c r="C93" s="468"/>
      <c r="D93" s="454"/>
      <c r="E93" s="494"/>
      <c r="F93" s="455"/>
      <c r="G93" s="455"/>
      <c r="H93" s="455"/>
      <c r="I93" s="454"/>
      <c r="J93" s="455"/>
      <c r="K93" s="455"/>
    </row>
    <row r="94" spans="1:11" ht="16.5" customHeight="1">
      <c r="A94" s="454"/>
      <c r="B94" s="456"/>
      <c r="C94" s="468"/>
      <c r="D94" s="454"/>
      <c r="E94" s="494"/>
      <c r="F94" s="455"/>
      <c r="G94" s="455"/>
      <c r="H94" s="455"/>
      <c r="I94" s="454"/>
      <c r="J94" s="455"/>
      <c r="K94" s="455"/>
    </row>
    <row r="95" spans="1:11" ht="16.5">
      <c r="A95" s="454"/>
      <c r="B95" s="456"/>
      <c r="C95" s="468"/>
      <c r="D95" s="454"/>
      <c r="E95" s="494"/>
      <c r="F95" s="455"/>
      <c r="G95" s="455"/>
      <c r="H95" s="455"/>
      <c r="I95" s="454"/>
      <c r="J95" s="455"/>
      <c r="K95" s="455"/>
    </row>
    <row r="96" spans="1:11" ht="16.5" customHeight="1">
      <c r="A96" s="454"/>
      <c r="B96" s="456"/>
      <c r="C96" s="468"/>
      <c r="D96" s="454"/>
      <c r="E96" s="494"/>
      <c r="F96" s="455"/>
      <c r="G96" s="455"/>
      <c r="H96" s="455"/>
      <c r="I96" s="454"/>
      <c r="J96" s="455"/>
      <c r="K96" s="455"/>
    </row>
    <row r="97" spans="1:11" ht="16.5">
      <c r="A97" s="454"/>
      <c r="B97" s="456"/>
      <c r="C97" s="468"/>
      <c r="D97" s="454"/>
      <c r="E97" s="494"/>
      <c r="F97" s="455"/>
      <c r="G97" s="455"/>
      <c r="H97" s="455"/>
      <c r="I97" s="454"/>
      <c r="J97" s="455"/>
      <c r="K97" s="455"/>
    </row>
    <row r="98" spans="1:11" ht="16.5" customHeight="1">
      <c r="A98" s="454"/>
      <c r="B98" s="456"/>
      <c r="C98" s="468"/>
      <c r="D98" s="454"/>
      <c r="E98" s="494"/>
      <c r="F98" s="455"/>
      <c r="G98" s="455"/>
      <c r="H98" s="455"/>
      <c r="I98" s="454"/>
      <c r="J98" s="455"/>
      <c r="K98" s="455"/>
    </row>
    <row r="99" spans="1:11" ht="16.5">
      <c r="A99" s="454"/>
      <c r="B99" s="456"/>
      <c r="C99" s="468"/>
      <c r="D99" s="454"/>
      <c r="E99" s="494"/>
      <c r="F99" s="455"/>
      <c r="G99" s="455"/>
      <c r="H99" s="455"/>
      <c r="I99" s="454"/>
      <c r="J99" s="455"/>
      <c r="K99" s="455"/>
    </row>
    <row r="100" spans="1:11" ht="16.5" customHeight="1">
      <c r="A100" s="454"/>
      <c r="B100" s="456"/>
      <c r="C100" s="468"/>
      <c r="D100" s="454"/>
      <c r="E100" s="494"/>
      <c r="F100" s="455"/>
      <c r="G100" s="455"/>
      <c r="H100" s="455"/>
      <c r="I100" s="454"/>
      <c r="J100" s="455"/>
      <c r="K100" s="455"/>
    </row>
    <row r="101" spans="1:11" ht="16.5">
      <c r="A101" s="454"/>
      <c r="B101" s="456"/>
      <c r="C101" s="468"/>
      <c r="D101" s="454"/>
      <c r="E101" s="494"/>
      <c r="F101" s="455"/>
      <c r="G101" s="455"/>
      <c r="H101" s="455"/>
      <c r="I101" s="454"/>
      <c r="J101" s="455"/>
      <c r="K101" s="455"/>
    </row>
    <row r="102" spans="1:11" ht="16.5" customHeight="1">
      <c r="A102" s="454"/>
      <c r="B102" s="456"/>
      <c r="C102" s="468"/>
      <c r="D102" s="454"/>
      <c r="E102" s="494"/>
      <c r="F102" s="455"/>
      <c r="G102" s="455"/>
      <c r="H102" s="455"/>
      <c r="I102" s="454"/>
      <c r="J102" s="455"/>
      <c r="K102" s="455"/>
    </row>
    <row r="103" spans="1:11" ht="16.5">
      <c r="A103" s="454"/>
      <c r="B103" s="456"/>
      <c r="C103" s="468"/>
      <c r="D103" s="454"/>
      <c r="E103" s="494"/>
      <c r="F103" s="455"/>
      <c r="G103" s="455"/>
      <c r="H103" s="455"/>
      <c r="I103" s="454"/>
      <c r="J103" s="455"/>
      <c r="K103" s="455"/>
    </row>
    <row r="104" spans="1:11" ht="16.5" customHeight="1">
      <c r="A104" s="454"/>
      <c r="B104" s="456"/>
      <c r="C104" s="468"/>
      <c r="D104" s="454"/>
      <c r="E104" s="494"/>
      <c r="F104" s="455"/>
      <c r="G104" s="455"/>
      <c r="H104" s="455"/>
      <c r="I104" s="454"/>
      <c r="J104" s="455"/>
      <c r="K104" s="455"/>
    </row>
    <row r="105" spans="1:11" ht="16.5">
      <c r="A105" s="454"/>
      <c r="B105" s="456"/>
      <c r="C105" s="468"/>
      <c r="D105" s="454"/>
      <c r="E105" s="494"/>
      <c r="F105" s="455"/>
      <c r="G105" s="455"/>
      <c r="H105" s="455"/>
      <c r="I105" s="454"/>
      <c r="J105" s="455"/>
      <c r="K105" s="455"/>
    </row>
    <row r="106" spans="1:11" ht="16.5" customHeight="1">
      <c r="A106" s="454"/>
      <c r="B106" s="456"/>
      <c r="C106" s="468"/>
      <c r="D106" s="454"/>
      <c r="E106" s="494"/>
      <c r="F106" s="455"/>
      <c r="G106" s="455"/>
      <c r="H106" s="455"/>
      <c r="I106" s="454"/>
      <c r="J106" s="455"/>
      <c r="K106" s="455"/>
    </row>
    <row r="107" spans="1:11" ht="16.5">
      <c r="A107" s="454"/>
      <c r="B107" s="456"/>
      <c r="C107" s="468"/>
      <c r="D107" s="454"/>
      <c r="E107" s="494"/>
      <c r="F107" s="455"/>
      <c r="G107" s="455"/>
      <c r="H107" s="455"/>
      <c r="I107" s="454"/>
      <c r="J107" s="455"/>
      <c r="K107" s="455"/>
    </row>
    <row r="108" spans="1:11" ht="16.5" customHeight="1">
      <c r="A108" s="454"/>
      <c r="B108" s="456"/>
      <c r="C108" s="468"/>
      <c r="D108" s="454"/>
      <c r="E108" s="494"/>
      <c r="F108" s="455"/>
      <c r="G108" s="455"/>
      <c r="H108" s="455"/>
      <c r="I108" s="454"/>
      <c r="J108" s="455"/>
      <c r="K108" s="455"/>
    </row>
    <row r="109" spans="1:11" ht="16.5">
      <c r="A109" s="454"/>
      <c r="B109" s="456"/>
      <c r="C109" s="468"/>
      <c r="D109" s="454"/>
      <c r="E109" s="494"/>
      <c r="F109" s="455"/>
      <c r="G109" s="455"/>
      <c r="H109" s="455"/>
      <c r="I109" s="454"/>
      <c r="J109" s="455"/>
      <c r="K109" s="455"/>
    </row>
    <row r="110" spans="1:11" ht="16.5" customHeight="1">
      <c r="A110" s="454"/>
      <c r="B110" s="456"/>
      <c r="C110" s="468"/>
      <c r="D110" s="454"/>
      <c r="E110" s="494"/>
      <c r="F110" s="455"/>
      <c r="G110" s="455"/>
      <c r="H110" s="455"/>
      <c r="I110" s="454"/>
      <c r="J110" s="455"/>
      <c r="K110" s="455"/>
    </row>
    <row r="111" spans="1:11" ht="16.5">
      <c r="A111" s="454"/>
      <c r="B111" s="456"/>
      <c r="C111" s="468"/>
      <c r="D111" s="454"/>
      <c r="E111" s="494"/>
      <c r="F111" s="455"/>
      <c r="G111" s="455"/>
      <c r="H111" s="455"/>
      <c r="I111" s="454"/>
      <c r="J111" s="455"/>
      <c r="K111" s="455"/>
    </row>
    <row r="112" spans="1:11" ht="16.5" customHeight="1">
      <c r="A112" s="454"/>
      <c r="B112" s="456"/>
      <c r="C112" s="468"/>
      <c r="D112" s="454"/>
      <c r="E112" s="494"/>
      <c r="F112" s="455"/>
      <c r="G112" s="455"/>
      <c r="H112" s="455"/>
      <c r="I112" s="454"/>
      <c r="J112" s="455"/>
      <c r="K112" s="455"/>
    </row>
    <row r="113" spans="1:11" ht="16.5">
      <c r="A113" s="454"/>
      <c r="B113" s="456"/>
      <c r="C113" s="468"/>
      <c r="D113" s="454"/>
      <c r="E113" s="494"/>
      <c r="F113" s="455"/>
      <c r="G113" s="455"/>
      <c r="H113" s="455"/>
      <c r="I113" s="454"/>
      <c r="J113" s="455"/>
      <c r="K113" s="455"/>
    </row>
    <row r="114" spans="1:11" ht="16.5" customHeight="1">
      <c r="A114" s="454"/>
      <c r="B114" s="456"/>
      <c r="C114" s="468"/>
      <c r="D114" s="454"/>
      <c r="E114" s="494"/>
      <c r="F114" s="455"/>
      <c r="G114" s="455"/>
      <c r="H114" s="455"/>
      <c r="I114" s="454"/>
      <c r="J114" s="455"/>
      <c r="K114" s="455"/>
    </row>
    <row r="115" spans="1:11" ht="16.5">
      <c r="A115" s="454"/>
      <c r="B115" s="456"/>
      <c r="C115" s="468"/>
      <c r="D115" s="454"/>
      <c r="E115" s="494"/>
      <c r="F115" s="455"/>
      <c r="G115" s="455"/>
      <c r="H115" s="455"/>
      <c r="I115" s="454"/>
      <c r="J115" s="455"/>
      <c r="K115" s="455"/>
    </row>
    <row r="116" spans="1:11" ht="16.5" customHeight="1">
      <c r="A116" s="454"/>
      <c r="B116" s="456"/>
      <c r="C116" s="468"/>
      <c r="D116" s="454"/>
      <c r="E116" s="494"/>
      <c r="F116" s="455"/>
      <c r="G116" s="455"/>
      <c r="H116" s="455"/>
      <c r="I116" s="454"/>
      <c r="J116" s="455"/>
      <c r="K116" s="455"/>
    </row>
    <row r="117" spans="1:11" ht="16.5">
      <c r="A117" s="454"/>
      <c r="B117" s="456"/>
      <c r="C117" s="468"/>
      <c r="D117" s="454"/>
      <c r="E117" s="494"/>
      <c r="F117" s="455"/>
      <c r="G117" s="455"/>
      <c r="H117" s="455"/>
      <c r="I117" s="454"/>
      <c r="J117" s="455"/>
      <c r="K117" s="455"/>
    </row>
    <row r="118" spans="1:11" ht="16.5" customHeight="1">
      <c r="A118" s="454"/>
      <c r="B118" s="456"/>
      <c r="C118" s="468"/>
      <c r="D118" s="454"/>
      <c r="E118" s="494"/>
      <c r="F118" s="455"/>
      <c r="G118" s="455"/>
      <c r="H118" s="455"/>
      <c r="I118" s="454"/>
      <c r="J118" s="455"/>
      <c r="K118" s="455"/>
    </row>
    <row r="119" spans="1:11" ht="16.5">
      <c r="A119" s="454"/>
      <c r="B119" s="456"/>
      <c r="C119" s="468"/>
      <c r="D119" s="454"/>
      <c r="E119" s="494"/>
      <c r="F119" s="455"/>
      <c r="G119" s="455"/>
      <c r="H119" s="455"/>
      <c r="I119" s="454"/>
      <c r="J119" s="455"/>
      <c r="K119" s="455"/>
    </row>
    <row r="120" spans="1:11" ht="16.5" customHeight="1">
      <c r="A120" s="454"/>
      <c r="B120" s="456"/>
      <c r="C120" s="468"/>
      <c r="D120" s="454"/>
      <c r="E120" s="494"/>
      <c r="F120" s="455"/>
      <c r="G120" s="455"/>
      <c r="H120" s="455"/>
      <c r="I120" s="454"/>
      <c r="J120" s="455"/>
      <c r="K120" s="455"/>
    </row>
    <row r="121" spans="1:11" ht="16.5">
      <c r="A121" s="454"/>
      <c r="B121" s="456"/>
      <c r="C121" s="468"/>
      <c r="D121" s="454"/>
      <c r="E121" s="494"/>
      <c r="F121" s="455"/>
      <c r="G121" s="455"/>
      <c r="H121" s="455"/>
      <c r="I121" s="454"/>
      <c r="J121" s="455"/>
      <c r="K121" s="455"/>
    </row>
    <row r="122" spans="1:11" ht="16.5" customHeight="1">
      <c r="A122" s="454"/>
      <c r="B122" s="456"/>
      <c r="C122" s="468"/>
      <c r="D122" s="454"/>
      <c r="E122" s="494"/>
      <c r="F122" s="455"/>
      <c r="G122" s="455"/>
      <c r="H122" s="455"/>
      <c r="I122" s="454"/>
      <c r="J122" s="455"/>
      <c r="K122" s="455"/>
    </row>
    <row r="123" spans="1:11" ht="16.5">
      <c r="A123" s="454"/>
      <c r="B123" s="456"/>
      <c r="C123" s="468"/>
      <c r="D123" s="454"/>
      <c r="E123" s="494"/>
      <c r="F123" s="455"/>
      <c r="G123" s="455"/>
      <c r="H123" s="455"/>
      <c r="I123" s="454"/>
      <c r="J123" s="455"/>
      <c r="K123" s="455"/>
    </row>
    <row r="124" spans="1:11" ht="16.5" customHeight="1">
      <c r="A124" s="454"/>
      <c r="B124" s="456"/>
      <c r="C124" s="468"/>
      <c r="D124" s="454"/>
      <c r="E124" s="494"/>
      <c r="F124" s="455"/>
      <c r="G124" s="455"/>
      <c r="H124" s="455"/>
      <c r="I124" s="454"/>
      <c r="J124" s="455"/>
      <c r="K124" s="455"/>
    </row>
    <row r="125" spans="1:11" ht="16.5">
      <c r="A125" s="454"/>
      <c r="B125" s="456"/>
      <c r="C125" s="468"/>
      <c r="D125" s="454"/>
      <c r="E125" s="494"/>
      <c r="F125" s="455"/>
      <c r="G125" s="455"/>
      <c r="H125" s="455"/>
      <c r="I125" s="454"/>
      <c r="J125" s="455"/>
      <c r="K125" s="455"/>
    </row>
    <row r="126" spans="1:11" ht="16.5" customHeight="1">
      <c r="A126" s="454"/>
      <c r="B126" s="456"/>
      <c r="C126" s="468"/>
      <c r="D126" s="454"/>
      <c r="E126" s="494"/>
      <c r="F126" s="455"/>
      <c r="G126" s="455"/>
      <c r="H126" s="455"/>
      <c r="I126" s="454"/>
      <c r="J126" s="455"/>
      <c r="K126" s="455"/>
    </row>
    <row r="127" spans="1:11" ht="16.5">
      <c r="A127" s="454"/>
      <c r="B127" s="456"/>
      <c r="C127" s="468"/>
      <c r="D127" s="454"/>
      <c r="E127" s="494"/>
      <c r="F127" s="455"/>
      <c r="G127" s="455"/>
      <c r="H127" s="455"/>
      <c r="I127" s="454"/>
      <c r="J127" s="455"/>
      <c r="K127" s="455"/>
    </row>
    <row r="128" spans="1:11" ht="16.5" customHeight="1">
      <c r="A128" s="454"/>
      <c r="B128" s="456"/>
      <c r="C128" s="468"/>
      <c r="D128" s="454"/>
      <c r="E128" s="494"/>
      <c r="F128" s="455"/>
      <c r="G128" s="455"/>
      <c r="H128" s="455"/>
      <c r="I128" s="454"/>
      <c r="J128" s="455"/>
      <c r="K128" s="455"/>
    </row>
    <row r="129" spans="1:11" ht="16.5">
      <c r="A129" s="454"/>
      <c r="B129" s="456"/>
      <c r="C129" s="468"/>
      <c r="D129" s="454"/>
      <c r="E129" s="494"/>
      <c r="F129" s="455"/>
      <c r="G129" s="455"/>
      <c r="H129" s="455"/>
      <c r="I129" s="454"/>
      <c r="J129" s="455"/>
      <c r="K129" s="455"/>
    </row>
    <row r="130" spans="1:11" ht="16.5" customHeight="1">
      <c r="A130" s="454"/>
      <c r="B130" s="456"/>
      <c r="C130" s="468"/>
      <c r="D130" s="454"/>
      <c r="E130" s="494"/>
      <c r="F130" s="455"/>
      <c r="G130" s="455"/>
      <c r="H130" s="455"/>
      <c r="I130" s="454"/>
      <c r="J130" s="455"/>
      <c r="K130" s="455"/>
    </row>
    <row r="131" spans="1:11" ht="16.5">
      <c r="A131" s="454"/>
      <c r="B131" s="456"/>
      <c r="C131" s="468"/>
      <c r="D131" s="454"/>
      <c r="E131" s="494"/>
      <c r="F131" s="455"/>
      <c r="G131" s="455"/>
      <c r="H131" s="455"/>
      <c r="I131" s="454"/>
      <c r="J131" s="455"/>
      <c r="K131" s="455"/>
    </row>
    <row r="132" spans="1:11" ht="16.5" customHeight="1">
      <c r="A132" s="454"/>
      <c r="B132" s="456"/>
      <c r="C132" s="468"/>
      <c r="D132" s="454"/>
      <c r="E132" s="494"/>
      <c r="F132" s="455"/>
      <c r="G132" s="455"/>
      <c r="H132" s="455"/>
      <c r="I132" s="454"/>
      <c r="J132" s="455"/>
      <c r="K132" s="455"/>
    </row>
    <row r="133" spans="1:11" ht="16.5">
      <c r="A133" s="454"/>
      <c r="B133" s="456"/>
      <c r="C133" s="468"/>
      <c r="D133" s="454"/>
      <c r="E133" s="494"/>
      <c r="F133" s="455"/>
      <c r="G133" s="455"/>
      <c r="H133" s="455"/>
      <c r="I133" s="454"/>
      <c r="J133" s="455"/>
      <c r="K133" s="455"/>
    </row>
    <row r="134" spans="1:11" ht="16.5" customHeight="1">
      <c r="A134" s="454"/>
      <c r="B134" s="456"/>
      <c r="C134" s="468"/>
      <c r="D134" s="454"/>
      <c r="E134" s="494"/>
      <c r="F134" s="455"/>
      <c r="G134" s="455"/>
      <c r="H134" s="455"/>
      <c r="I134" s="454"/>
      <c r="J134" s="455"/>
      <c r="K134" s="455"/>
    </row>
    <row r="135" spans="1:11" ht="16.5">
      <c r="A135" s="454"/>
      <c r="B135" s="456"/>
      <c r="C135" s="468"/>
      <c r="D135" s="454"/>
      <c r="E135" s="494"/>
      <c r="F135" s="455"/>
      <c r="G135" s="455"/>
      <c r="H135" s="455"/>
      <c r="I135" s="454"/>
      <c r="J135" s="455"/>
      <c r="K135" s="455"/>
    </row>
    <row r="136" spans="1:11" ht="16.5" customHeight="1">
      <c r="A136" s="454"/>
      <c r="B136" s="456"/>
      <c r="C136" s="468"/>
      <c r="D136" s="454"/>
      <c r="E136" s="494"/>
      <c r="F136" s="455"/>
      <c r="G136" s="455"/>
      <c r="H136" s="455"/>
      <c r="I136" s="454"/>
      <c r="J136" s="455"/>
      <c r="K136" s="455"/>
    </row>
    <row r="137" spans="1:11" ht="16.5">
      <c r="A137" s="454"/>
      <c r="B137" s="456"/>
      <c r="C137" s="468"/>
      <c r="D137" s="454"/>
      <c r="E137" s="494"/>
      <c r="F137" s="455"/>
      <c r="G137" s="455"/>
      <c r="H137" s="455"/>
      <c r="I137" s="454"/>
      <c r="J137" s="455"/>
      <c r="K137" s="455"/>
    </row>
    <row r="138" spans="1:11" ht="16.5" customHeight="1">
      <c r="A138" s="454"/>
      <c r="B138" s="456"/>
      <c r="C138" s="468"/>
      <c r="D138" s="454"/>
      <c r="E138" s="494"/>
      <c r="F138" s="455"/>
      <c r="G138" s="455"/>
      <c r="H138" s="455"/>
      <c r="I138" s="454"/>
      <c r="J138" s="455"/>
      <c r="K138" s="455"/>
    </row>
    <row r="139" spans="1:11" ht="16.5">
      <c r="A139" s="454"/>
      <c r="B139" s="456"/>
      <c r="C139" s="468"/>
      <c r="D139" s="454"/>
      <c r="E139" s="494"/>
      <c r="F139" s="455"/>
      <c r="G139" s="455"/>
      <c r="H139" s="455"/>
      <c r="I139" s="454"/>
      <c r="J139" s="455"/>
      <c r="K139" s="455"/>
    </row>
    <row r="140" spans="1:11" ht="16.5" customHeight="1">
      <c r="A140" s="454"/>
      <c r="B140" s="456"/>
      <c r="C140" s="468"/>
      <c r="D140" s="454"/>
      <c r="E140" s="494"/>
      <c r="F140" s="455"/>
      <c r="G140" s="455"/>
      <c r="H140" s="455"/>
      <c r="I140" s="454"/>
      <c r="J140" s="455"/>
      <c r="K140" s="455"/>
    </row>
    <row r="141" spans="1:11" ht="16.5">
      <c r="A141" s="454"/>
      <c r="B141" s="456"/>
      <c r="C141" s="468"/>
      <c r="D141" s="454"/>
      <c r="E141" s="494"/>
      <c r="F141" s="455"/>
      <c r="G141" s="455"/>
      <c r="H141" s="455"/>
      <c r="I141" s="454"/>
      <c r="J141" s="455"/>
      <c r="K141" s="455"/>
    </row>
    <row r="142" spans="1:11" ht="16.5" customHeight="1">
      <c r="A142" s="454"/>
      <c r="B142" s="456"/>
      <c r="C142" s="468"/>
      <c r="D142" s="454"/>
      <c r="E142" s="494"/>
      <c r="F142" s="455"/>
      <c r="G142" s="455"/>
      <c r="H142" s="455"/>
      <c r="I142" s="454"/>
      <c r="J142" s="455"/>
      <c r="K142" s="455"/>
    </row>
    <row r="143" spans="1:11" ht="16.5">
      <c r="A143" s="454"/>
      <c r="B143" s="456"/>
      <c r="C143" s="468"/>
      <c r="D143" s="454"/>
      <c r="E143" s="494"/>
      <c r="F143" s="455"/>
      <c r="G143" s="455"/>
      <c r="H143" s="455"/>
      <c r="I143" s="454"/>
      <c r="J143" s="455"/>
      <c r="K143" s="455"/>
    </row>
    <row r="144" spans="1:11" ht="16.5" customHeight="1">
      <c r="A144" s="454"/>
      <c r="B144" s="456"/>
      <c r="C144" s="468"/>
      <c r="D144" s="454"/>
      <c r="E144" s="494"/>
      <c r="F144" s="455"/>
      <c r="G144" s="455"/>
      <c r="H144" s="455"/>
      <c r="I144" s="454"/>
      <c r="J144" s="455"/>
      <c r="K144" s="455"/>
    </row>
    <row r="145" spans="1:11" ht="16.5">
      <c r="A145" s="454"/>
      <c r="B145" s="456"/>
      <c r="C145" s="468"/>
      <c r="D145" s="454"/>
      <c r="E145" s="494"/>
      <c r="F145" s="455"/>
      <c r="G145" s="455"/>
      <c r="H145" s="455"/>
      <c r="I145" s="454"/>
      <c r="J145" s="455"/>
      <c r="K145" s="455"/>
    </row>
    <row r="146" spans="1:11" ht="16.5" customHeight="1">
      <c r="A146" s="454"/>
      <c r="B146" s="456"/>
      <c r="C146" s="468"/>
      <c r="D146" s="454"/>
      <c r="E146" s="494"/>
      <c r="F146" s="455"/>
      <c r="G146" s="455"/>
      <c r="H146" s="455"/>
      <c r="I146" s="454"/>
      <c r="J146" s="455"/>
      <c r="K146" s="455"/>
    </row>
    <row r="147" spans="1:11" ht="16.5">
      <c r="A147" s="454"/>
      <c r="B147" s="456"/>
      <c r="C147" s="468"/>
      <c r="D147" s="454"/>
      <c r="E147" s="494"/>
      <c r="F147" s="455"/>
      <c r="G147" s="455"/>
      <c r="H147" s="455"/>
      <c r="I147" s="454"/>
      <c r="J147" s="455"/>
      <c r="K147" s="455"/>
    </row>
    <row r="148" spans="1:11" ht="16.5" customHeight="1">
      <c r="A148" s="454"/>
      <c r="B148" s="456"/>
      <c r="C148" s="468"/>
      <c r="D148" s="454"/>
      <c r="E148" s="494"/>
      <c r="F148" s="455"/>
      <c r="G148" s="455"/>
      <c r="H148" s="455"/>
      <c r="I148" s="454"/>
      <c r="J148" s="455"/>
      <c r="K148" s="455"/>
    </row>
    <row r="149" spans="1:11" ht="16.5">
      <c r="A149" s="454"/>
      <c r="B149" s="456"/>
      <c r="C149" s="468"/>
      <c r="D149" s="454"/>
      <c r="E149" s="494"/>
      <c r="F149" s="455"/>
      <c r="G149" s="455"/>
      <c r="H149" s="455"/>
      <c r="I149" s="454"/>
      <c r="J149" s="455"/>
      <c r="K149" s="455"/>
    </row>
    <row r="150" spans="1:11" ht="16.5" customHeight="1">
      <c r="A150" s="454"/>
      <c r="B150" s="456"/>
      <c r="C150" s="468"/>
      <c r="D150" s="454"/>
      <c r="E150" s="494"/>
      <c r="F150" s="455"/>
      <c r="G150" s="455"/>
      <c r="H150" s="455"/>
      <c r="I150" s="454"/>
      <c r="J150" s="455"/>
      <c r="K150" s="455"/>
    </row>
    <row r="151" spans="1:11" ht="16.5">
      <c r="A151" s="454"/>
      <c r="B151" s="456"/>
      <c r="C151" s="468"/>
      <c r="D151" s="454"/>
      <c r="E151" s="494"/>
      <c r="F151" s="455"/>
      <c r="G151" s="455"/>
      <c r="H151" s="455"/>
      <c r="I151" s="454"/>
      <c r="J151" s="455"/>
      <c r="K151" s="455"/>
    </row>
    <row r="152" spans="1:11" ht="16.5" customHeight="1">
      <c r="A152" s="454"/>
      <c r="B152" s="456"/>
      <c r="C152" s="468"/>
      <c r="D152" s="454"/>
      <c r="E152" s="494"/>
      <c r="F152" s="455"/>
      <c r="G152" s="455"/>
      <c r="H152" s="455"/>
      <c r="I152" s="454"/>
      <c r="J152" s="455"/>
      <c r="K152" s="455"/>
    </row>
    <row r="153" spans="1:11" ht="16.5">
      <c r="A153" s="454"/>
      <c r="B153" s="456"/>
      <c r="C153" s="468"/>
      <c r="D153" s="454"/>
      <c r="E153" s="494"/>
      <c r="F153" s="455"/>
      <c r="G153" s="455"/>
      <c r="H153" s="455"/>
      <c r="I153" s="454"/>
      <c r="J153" s="455"/>
      <c r="K153" s="455"/>
    </row>
    <row r="154" spans="1:11" ht="16.5" customHeight="1">
      <c r="A154" s="454"/>
      <c r="B154" s="456"/>
      <c r="C154" s="468"/>
      <c r="D154" s="454"/>
      <c r="E154" s="494"/>
      <c r="F154" s="455"/>
      <c r="G154" s="455"/>
      <c r="H154" s="455"/>
      <c r="I154" s="454"/>
      <c r="J154" s="455"/>
      <c r="K154" s="455"/>
    </row>
    <row r="155" spans="1:11" ht="16.5">
      <c r="A155" s="454"/>
      <c r="B155" s="456"/>
      <c r="C155" s="468"/>
      <c r="D155" s="454"/>
      <c r="E155" s="494"/>
      <c r="F155" s="455"/>
      <c r="G155" s="455"/>
      <c r="H155" s="455"/>
      <c r="I155" s="454"/>
      <c r="J155" s="455"/>
      <c r="K155" s="455"/>
    </row>
    <row r="156" spans="1:11" ht="16.5" customHeight="1">
      <c r="A156" s="454"/>
      <c r="B156" s="456"/>
      <c r="C156" s="468"/>
      <c r="D156" s="454"/>
      <c r="E156" s="494"/>
      <c r="F156" s="455"/>
      <c r="G156" s="455"/>
      <c r="H156" s="455"/>
      <c r="I156" s="454"/>
      <c r="J156" s="455"/>
      <c r="K156" s="455"/>
    </row>
    <row r="157" spans="1:11" ht="16.5">
      <c r="A157" s="454"/>
      <c r="B157" s="456"/>
      <c r="C157" s="468"/>
      <c r="D157" s="454"/>
      <c r="E157" s="494"/>
      <c r="F157" s="455"/>
      <c r="G157" s="455"/>
      <c r="H157" s="455"/>
      <c r="I157" s="454"/>
      <c r="J157" s="455"/>
      <c r="K157" s="455"/>
    </row>
    <row r="158" spans="1:11" ht="16.5" customHeight="1">
      <c r="A158" s="454"/>
      <c r="B158" s="456"/>
      <c r="C158" s="468"/>
      <c r="D158" s="454"/>
      <c r="E158" s="494"/>
      <c r="F158" s="455"/>
      <c r="G158" s="455"/>
      <c r="H158" s="455"/>
      <c r="I158" s="454"/>
      <c r="J158" s="455"/>
      <c r="K158" s="455"/>
    </row>
    <row r="159" spans="1:11" ht="16.5">
      <c r="A159" s="454"/>
      <c r="B159" s="456"/>
      <c r="C159" s="468"/>
      <c r="D159" s="454"/>
      <c r="E159" s="494"/>
      <c r="F159" s="455"/>
      <c r="G159" s="455"/>
      <c r="H159" s="455"/>
      <c r="I159" s="454"/>
      <c r="J159" s="455"/>
      <c r="K159" s="455"/>
    </row>
    <row r="160" spans="1:11" ht="16.5" customHeight="1">
      <c r="A160" s="454"/>
      <c r="B160" s="456"/>
      <c r="C160" s="468"/>
      <c r="D160" s="454"/>
      <c r="E160" s="494"/>
      <c r="F160" s="455"/>
      <c r="G160" s="455"/>
      <c r="H160" s="455"/>
      <c r="I160" s="454"/>
      <c r="J160" s="455"/>
      <c r="K160" s="455"/>
    </row>
    <row r="161" spans="1:11" ht="16.5">
      <c r="A161" s="454"/>
      <c r="B161" s="456"/>
      <c r="C161" s="468"/>
      <c r="D161" s="454"/>
      <c r="E161" s="494"/>
      <c r="F161" s="455"/>
      <c r="G161" s="455"/>
      <c r="H161" s="455"/>
      <c r="I161" s="454"/>
      <c r="J161" s="455"/>
      <c r="K161" s="455"/>
    </row>
    <row r="162" spans="1:11" ht="16.5" customHeight="1">
      <c r="A162" s="454"/>
      <c r="B162" s="456"/>
      <c r="C162" s="468"/>
      <c r="D162" s="454"/>
      <c r="E162" s="494"/>
      <c r="F162" s="455"/>
      <c r="G162" s="455"/>
      <c r="H162" s="455"/>
      <c r="I162" s="454"/>
      <c r="J162" s="455"/>
      <c r="K162" s="455"/>
    </row>
    <row r="163" spans="1:11" ht="16.5">
      <c r="A163" s="454"/>
      <c r="B163" s="456"/>
      <c r="C163" s="468"/>
      <c r="D163" s="454"/>
      <c r="E163" s="494"/>
      <c r="F163" s="455"/>
      <c r="G163" s="455"/>
      <c r="H163" s="455"/>
      <c r="I163" s="454"/>
      <c r="J163" s="455"/>
      <c r="K163" s="455"/>
    </row>
    <row r="164" spans="1:11" ht="16.5" customHeight="1">
      <c r="A164" s="454"/>
      <c r="B164" s="456"/>
      <c r="C164" s="468"/>
      <c r="D164" s="454"/>
      <c r="E164" s="494"/>
      <c r="F164" s="455"/>
      <c r="G164" s="455"/>
      <c r="H164" s="455"/>
      <c r="I164" s="454"/>
      <c r="J164" s="455"/>
      <c r="K164" s="455"/>
    </row>
    <row r="165" spans="1:11" ht="16.5">
      <c r="A165" s="454"/>
      <c r="B165" s="456"/>
      <c r="C165" s="468"/>
      <c r="D165" s="454"/>
      <c r="E165" s="494"/>
      <c r="F165" s="455"/>
      <c r="G165" s="455"/>
      <c r="H165" s="455"/>
      <c r="I165" s="454"/>
      <c r="J165" s="455"/>
      <c r="K165" s="455"/>
    </row>
    <row r="166" spans="1:11" ht="16.5" customHeight="1">
      <c r="A166" s="454"/>
      <c r="B166" s="456"/>
      <c r="C166" s="468"/>
      <c r="D166" s="454"/>
      <c r="E166" s="494"/>
      <c r="F166" s="455"/>
      <c r="G166" s="455"/>
      <c r="H166" s="455"/>
      <c r="I166" s="454"/>
      <c r="J166" s="455"/>
      <c r="K166" s="455"/>
    </row>
    <row r="167" spans="1:11" ht="16.5">
      <c r="A167" s="454"/>
      <c r="B167" s="456"/>
      <c r="C167" s="468"/>
      <c r="D167" s="454"/>
      <c r="E167" s="494"/>
      <c r="F167" s="455"/>
      <c r="G167" s="455"/>
      <c r="H167" s="455"/>
      <c r="I167" s="454"/>
      <c r="J167" s="455"/>
      <c r="K167" s="455"/>
    </row>
    <row r="168" spans="1:11" ht="16.5" customHeight="1">
      <c r="A168" s="454"/>
      <c r="B168" s="456"/>
      <c r="C168" s="468"/>
      <c r="D168" s="454"/>
      <c r="E168" s="494"/>
      <c r="F168" s="455"/>
      <c r="G168" s="455"/>
      <c r="H168" s="455"/>
      <c r="I168" s="454"/>
      <c r="J168" s="455"/>
      <c r="K168" s="455"/>
    </row>
    <row r="169" spans="1:11" ht="16.5">
      <c r="A169" s="454"/>
      <c r="B169" s="456"/>
      <c r="C169" s="468"/>
      <c r="D169" s="454"/>
      <c r="E169" s="494"/>
      <c r="F169" s="455"/>
      <c r="G169" s="455"/>
      <c r="H169" s="455"/>
      <c r="I169" s="454"/>
      <c r="J169" s="455"/>
      <c r="K169" s="455"/>
    </row>
    <row r="170" spans="1:11" ht="16.5" customHeight="1">
      <c r="A170" s="454"/>
      <c r="B170" s="456"/>
      <c r="C170" s="468"/>
      <c r="D170" s="454"/>
      <c r="E170" s="494"/>
      <c r="F170" s="455"/>
      <c r="G170" s="455"/>
      <c r="H170" s="455"/>
      <c r="I170" s="454"/>
      <c r="J170" s="455"/>
      <c r="K170" s="455"/>
    </row>
    <row r="171" spans="1:11" ht="16.5">
      <c r="A171" s="454"/>
      <c r="B171" s="456"/>
      <c r="C171" s="468"/>
      <c r="D171" s="454"/>
      <c r="E171" s="494"/>
      <c r="F171" s="455"/>
      <c r="G171" s="455"/>
      <c r="H171" s="455"/>
      <c r="I171" s="454"/>
      <c r="J171" s="455"/>
      <c r="K171" s="455"/>
    </row>
    <row r="172" spans="1:11" ht="16.5" customHeight="1">
      <c r="A172" s="454"/>
      <c r="B172" s="456"/>
      <c r="C172" s="468"/>
      <c r="D172" s="454"/>
      <c r="E172" s="494"/>
      <c r="F172" s="455"/>
      <c r="G172" s="455"/>
      <c r="H172" s="455"/>
      <c r="I172" s="454"/>
      <c r="J172" s="455"/>
      <c r="K172" s="455"/>
    </row>
    <row r="173" spans="1:11" ht="16.5">
      <c r="A173" s="454"/>
      <c r="B173" s="456"/>
      <c r="C173" s="468"/>
      <c r="D173" s="454"/>
      <c r="E173" s="494"/>
      <c r="F173" s="455"/>
      <c r="G173" s="455"/>
      <c r="H173" s="455"/>
      <c r="I173" s="454"/>
      <c r="J173" s="455"/>
      <c r="K173" s="455"/>
    </row>
    <row r="174" spans="1:11" ht="16.5" customHeight="1">
      <c r="A174" s="454"/>
      <c r="B174" s="456"/>
      <c r="C174" s="468"/>
      <c r="D174" s="454"/>
      <c r="E174" s="494"/>
      <c r="F174" s="455"/>
      <c r="G174" s="455"/>
      <c r="H174" s="455"/>
      <c r="I174" s="454"/>
      <c r="J174" s="455"/>
      <c r="K174" s="455"/>
    </row>
    <row r="175" spans="1:11" ht="16.5">
      <c r="A175" s="454"/>
      <c r="B175" s="456"/>
      <c r="C175" s="468"/>
      <c r="D175" s="454"/>
      <c r="E175" s="494"/>
      <c r="F175" s="455"/>
      <c r="G175" s="455"/>
      <c r="H175" s="455"/>
      <c r="I175" s="454"/>
      <c r="J175" s="455"/>
      <c r="K175" s="455"/>
    </row>
    <row r="176" spans="1:11" ht="16.5" customHeight="1">
      <c r="A176" s="454"/>
      <c r="B176" s="456"/>
      <c r="C176" s="468"/>
      <c r="D176" s="454"/>
      <c r="E176" s="494"/>
      <c r="F176" s="455"/>
      <c r="G176" s="455"/>
      <c r="H176" s="455"/>
      <c r="I176" s="454"/>
      <c r="J176" s="455"/>
      <c r="K176" s="455"/>
    </row>
    <row r="177" spans="1:11" ht="16.5">
      <c r="A177" s="454"/>
      <c r="B177" s="456"/>
      <c r="C177" s="468"/>
      <c r="D177" s="454"/>
      <c r="E177" s="494"/>
      <c r="F177" s="455"/>
      <c r="G177" s="455"/>
      <c r="H177" s="455"/>
      <c r="I177" s="454"/>
      <c r="J177" s="455"/>
      <c r="K177" s="455"/>
    </row>
    <row r="178" spans="1:11" ht="16.5" customHeight="1">
      <c r="A178" s="454"/>
      <c r="B178" s="456"/>
      <c r="C178" s="468"/>
      <c r="D178" s="454"/>
      <c r="E178" s="494"/>
      <c r="F178" s="455"/>
      <c r="G178" s="455"/>
      <c r="H178" s="455"/>
      <c r="I178" s="454"/>
      <c r="J178" s="455"/>
      <c r="K178" s="455"/>
    </row>
    <row r="179" spans="1:11" ht="16.5">
      <c r="A179" s="454"/>
      <c r="B179" s="456"/>
      <c r="C179" s="468"/>
      <c r="D179" s="454"/>
      <c r="E179" s="494"/>
      <c r="F179" s="455"/>
      <c r="G179" s="455"/>
      <c r="H179" s="455"/>
      <c r="I179" s="454"/>
      <c r="J179" s="455"/>
      <c r="K179" s="455"/>
    </row>
    <row r="180" spans="1:11" ht="16.5" customHeight="1">
      <c r="A180" s="454"/>
      <c r="B180" s="456"/>
      <c r="C180" s="468"/>
      <c r="D180" s="454"/>
      <c r="E180" s="494"/>
      <c r="F180" s="455"/>
      <c r="G180" s="455"/>
      <c r="H180" s="455"/>
      <c r="I180" s="454"/>
      <c r="J180" s="455"/>
      <c r="K180" s="455"/>
    </row>
    <row r="181" spans="1:11" ht="16.5">
      <c r="A181" s="454"/>
      <c r="B181" s="456"/>
      <c r="C181" s="468"/>
      <c r="D181" s="454"/>
      <c r="E181" s="494"/>
      <c r="F181" s="455"/>
      <c r="G181" s="455"/>
      <c r="H181" s="455"/>
      <c r="I181" s="454"/>
      <c r="J181" s="455"/>
      <c r="K181" s="455"/>
    </row>
    <row r="182" spans="1:11" ht="16.5" customHeight="1">
      <c r="A182" s="454"/>
      <c r="B182" s="456"/>
      <c r="C182" s="468"/>
      <c r="D182" s="454"/>
      <c r="E182" s="494"/>
      <c r="F182" s="455"/>
      <c r="G182" s="455"/>
      <c r="H182" s="455"/>
      <c r="I182" s="454"/>
      <c r="J182" s="455"/>
      <c r="K182" s="455"/>
    </row>
    <row r="183" spans="1:11" ht="16.5">
      <c r="A183" s="454"/>
      <c r="B183" s="456"/>
      <c r="C183" s="468"/>
      <c r="D183" s="454"/>
      <c r="E183" s="494"/>
      <c r="F183" s="455"/>
      <c r="G183" s="455"/>
      <c r="H183" s="455"/>
      <c r="I183" s="454"/>
      <c r="J183" s="455"/>
      <c r="K183" s="455"/>
    </row>
    <row r="184" spans="1:11" ht="16.5" customHeight="1">
      <c r="A184" s="454"/>
      <c r="B184" s="456"/>
      <c r="C184" s="468"/>
      <c r="D184" s="454"/>
      <c r="E184" s="494"/>
      <c r="F184" s="455"/>
      <c r="G184" s="455"/>
      <c r="H184" s="455"/>
      <c r="I184" s="454"/>
      <c r="J184" s="455"/>
      <c r="K184" s="455"/>
    </row>
    <row r="185" spans="1:11" ht="16.5">
      <c r="A185" s="454"/>
      <c r="B185" s="456"/>
      <c r="C185" s="468"/>
      <c r="D185" s="454"/>
      <c r="E185" s="494"/>
      <c r="F185" s="455"/>
      <c r="G185" s="455"/>
      <c r="H185" s="455"/>
      <c r="I185" s="454"/>
      <c r="J185" s="455"/>
      <c r="K185" s="455"/>
    </row>
    <row r="186" spans="1:11" ht="16.5" customHeight="1">
      <c r="A186" s="454"/>
      <c r="B186" s="456"/>
      <c r="C186" s="468"/>
      <c r="D186" s="454"/>
      <c r="E186" s="494"/>
      <c r="F186" s="455"/>
      <c r="G186" s="455"/>
      <c r="H186" s="455"/>
      <c r="I186" s="454"/>
      <c r="J186" s="455"/>
      <c r="K186" s="455"/>
    </row>
    <row r="187" spans="1:11" ht="16.5">
      <c r="A187" s="454"/>
      <c r="B187" s="456"/>
      <c r="C187" s="468"/>
      <c r="D187" s="454"/>
      <c r="E187" s="494"/>
      <c r="F187" s="455"/>
      <c r="G187" s="455"/>
      <c r="H187" s="455"/>
      <c r="I187" s="454"/>
      <c r="J187" s="455"/>
      <c r="K187" s="455"/>
    </row>
    <row r="188" spans="1:11" ht="16.5" customHeight="1">
      <c r="A188" s="454"/>
      <c r="B188" s="456"/>
      <c r="C188" s="468"/>
      <c r="D188" s="454"/>
      <c r="E188" s="494"/>
      <c r="F188" s="455"/>
      <c r="G188" s="455"/>
      <c r="H188" s="455"/>
      <c r="I188" s="454"/>
      <c r="J188" s="455"/>
      <c r="K188" s="455"/>
    </row>
    <row r="189" spans="1:11" ht="16.5">
      <c r="A189" s="454"/>
      <c r="B189" s="456"/>
      <c r="C189" s="468"/>
      <c r="D189" s="454"/>
      <c r="E189" s="494"/>
      <c r="F189" s="455"/>
      <c r="G189" s="455"/>
      <c r="H189" s="455"/>
      <c r="I189" s="454"/>
      <c r="J189" s="455"/>
      <c r="K189" s="455"/>
    </row>
    <row r="190" spans="1:11" ht="16.5" customHeight="1">
      <c r="A190" s="454"/>
      <c r="B190" s="456"/>
      <c r="C190" s="468"/>
      <c r="D190" s="454"/>
      <c r="E190" s="494"/>
      <c r="F190" s="455"/>
      <c r="G190" s="455"/>
      <c r="H190" s="455"/>
      <c r="I190" s="454"/>
      <c r="J190" s="455"/>
      <c r="K190" s="455"/>
    </row>
    <row r="191" spans="1:11" ht="16.5">
      <c r="A191" s="454"/>
      <c r="B191" s="456"/>
      <c r="C191" s="468"/>
      <c r="D191" s="454"/>
      <c r="E191" s="494"/>
      <c r="F191" s="455"/>
      <c r="G191" s="455"/>
      <c r="H191" s="455"/>
      <c r="I191" s="454"/>
      <c r="J191" s="455"/>
      <c r="K191" s="455"/>
    </row>
    <row r="192" spans="1:11" ht="16.5" customHeight="1">
      <c r="A192" s="454"/>
      <c r="B192" s="456"/>
      <c r="C192" s="468"/>
      <c r="D192" s="454"/>
      <c r="E192" s="494"/>
      <c r="F192" s="455"/>
      <c r="G192" s="455"/>
      <c r="H192" s="455"/>
      <c r="I192" s="454"/>
      <c r="J192" s="455"/>
      <c r="K192" s="455"/>
    </row>
    <row r="193" spans="1:11" ht="16.5">
      <c r="A193" s="454"/>
      <c r="B193" s="456"/>
      <c r="C193" s="468"/>
      <c r="D193" s="454"/>
      <c r="E193" s="494"/>
      <c r="F193" s="455"/>
      <c r="G193" s="455"/>
      <c r="H193" s="455"/>
      <c r="I193" s="454"/>
      <c r="J193" s="455"/>
      <c r="K193" s="455"/>
    </row>
    <row r="194" spans="1:11" ht="16.5" customHeight="1">
      <c r="A194" s="454"/>
      <c r="B194" s="456"/>
      <c r="C194" s="468"/>
      <c r="D194" s="454"/>
      <c r="E194" s="494"/>
      <c r="F194" s="455"/>
      <c r="G194" s="455"/>
      <c r="H194" s="455"/>
      <c r="I194" s="454"/>
      <c r="J194" s="455"/>
      <c r="K194" s="455"/>
    </row>
    <row r="195" spans="1:11" ht="16.5">
      <c r="A195" s="454"/>
      <c r="B195" s="456"/>
      <c r="C195" s="468"/>
      <c r="D195" s="454"/>
      <c r="E195" s="494"/>
      <c r="F195" s="455"/>
      <c r="G195" s="455"/>
      <c r="H195" s="455"/>
      <c r="I195" s="454"/>
      <c r="J195" s="455"/>
      <c r="K195" s="455"/>
    </row>
    <row r="196" spans="1:11" ht="16.5" customHeight="1">
      <c r="A196" s="454"/>
      <c r="B196" s="456"/>
      <c r="C196" s="468"/>
      <c r="D196" s="454"/>
      <c r="E196" s="494"/>
      <c r="F196" s="455"/>
      <c r="G196" s="455"/>
      <c r="H196" s="455"/>
      <c r="I196" s="454"/>
      <c r="J196" s="455"/>
      <c r="K196" s="455"/>
    </row>
    <row r="197" spans="1:11" ht="16.5">
      <c r="A197" s="454"/>
      <c r="B197" s="456"/>
      <c r="C197" s="468"/>
      <c r="D197" s="454"/>
      <c r="E197" s="494"/>
      <c r="F197" s="455"/>
      <c r="G197" s="455"/>
      <c r="H197" s="455"/>
      <c r="I197" s="454"/>
      <c r="J197" s="455"/>
      <c r="K197" s="455"/>
    </row>
    <row r="198" spans="1:11" ht="16.5" customHeight="1">
      <c r="A198" s="454"/>
      <c r="B198" s="456"/>
      <c r="C198" s="468"/>
      <c r="D198" s="454"/>
      <c r="E198" s="494"/>
      <c r="F198" s="455"/>
      <c r="G198" s="455"/>
      <c r="H198" s="455"/>
      <c r="I198" s="454"/>
      <c r="J198" s="455"/>
      <c r="K198" s="455"/>
    </row>
    <row r="199" spans="1:11" ht="16.5">
      <c r="A199" s="454"/>
      <c r="B199" s="456"/>
      <c r="C199" s="468"/>
      <c r="D199" s="454"/>
      <c r="E199" s="494"/>
      <c r="F199" s="455"/>
      <c r="G199" s="455"/>
      <c r="H199" s="455"/>
      <c r="I199" s="454"/>
      <c r="J199" s="455"/>
      <c r="K199" s="455"/>
    </row>
    <row r="200" spans="1:11" ht="16.5" customHeight="1">
      <c r="A200" s="454"/>
      <c r="B200" s="456"/>
      <c r="C200" s="468"/>
      <c r="D200" s="454"/>
      <c r="E200" s="494"/>
      <c r="F200" s="455"/>
      <c r="G200" s="455"/>
      <c r="H200" s="455"/>
      <c r="I200" s="454"/>
      <c r="J200" s="455"/>
      <c r="K200" s="455"/>
    </row>
    <row r="201" spans="1:11" ht="16.5">
      <c r="A201" s="454"/>
      <c r="B201" s="456"/>
      <c r="C201" s="468"/>
      <c r="D201" s="454"/>
      <c r="E201" s="494"/>
      <c r="F201" s="455"/>
      <c r="G201" s="455"/>
      <c r="H201" s="455"/>
      <c r="I201" s="454"/>
      <c r="J201" s="455"/>
      <c r="K201" s="455"/>
    </row>
    <row r="202" spans="1:11" ht="16.5" customHeight="1">
      <c r="A202" s="454"/>
      <c r="B202" s="456"/>
      <c r="C202" s="468"/>
      <c r="D202" s="454"/>
      <c r="E202" s="494"/>
      <c r="F202" s="455"/>
      <c r="G202" s="455"/>
      <c r="H202" s="455"/>
      <c r="I202" s="454"/>
      <c r="J202" s="455"/>
      <c r="K202" s="455"/>
    </row>
    <row r="203" spans="1:11" ht="16.5">
      <c r="A203" s="454"/>
      <c r="B203" s="456"/>
      <c r="C203" s="468"/>
      <c r="D203" s="454"/>
      <c r="E203" s="494"/>
      <c r="F203" s="455"/>
      <c r="G203" s="455"/>
      <c r="H203" s="455"/>
      <c r="I203" s="454"/>
      <c r="J203" s="455"/>
      <c r="K203" s="455"/>
    </row>
    <row r="204" spans="1:11" ht="16.5" customHeight="1">
      <c r="A204" s="454"/>
      <c r="B204" s="456"/>
      <c r="C204" s="468"/>
      <c r="D204" s="454"/>
      <c r="E204" s="494"/>
      <c r="F204" s="455"/>
      <c r="G204" s="455"/>
      <c r="H204" s="455"/>
      <c r="I204" s="454"/>
      <c r="J204" s="455"/>
      <c r="K204" s="455"/>
    </row>
    <row r="205" spans="1:11" ht="16.5">
      <c r="A205" s="454"/>
      <c r="B205" s="456"/>
      <c r="C205" s="468"/>
      <c r="D205" s="454"/>
      <c r="E205" s="494"/>
      <c r="F205" s="455"/>
      <c r="G205" s="455"/>
      <c r="H205" s="455"/>
      <c r="I205" s="454"/>
      <c r="J205" s="455"/>
      <c r="K205" s="455"/>
    </row>
    <row r="206" spans="1:11" ht="16.5" customHeight="1">
      <c r="A206" s="454"/>
      <c r="B206" s="456"/>
      <c r="C206" s="468"/>
      <c r="D206" s="454"/>
      <c r="E206" s="494"/>
      <c r="F206" s="455"/>
      <c r="G206" s="455"/>
      <c r="H206" s="455"/>
      <c r="I206" s="454"/>
      <c r="J206" s="455"/>
      <c r="K206" s="455"/>
    </row>
    <row r="207" spans="1:11" ht="16.5">
      <c r="A207" s="454"/>
      <c r="B207" s="456"/>
      <c r="C207" s="468"/>
      <c r="D207" s="454"/>
      <c r="E207" s="494"/>
      <c r="F207" s="455"/>
      <c r="G207" s="455"/>
      <c r="H207" s="455"/>
      <c r="I207" s="454"/>
      <c r="J207" s="455"/>
      <c r="K207" s="455"/>
    </row>
    <row r="208" spans="1:11" ht="16.5" customHeight="1">
      <c r="A208" s="454"/>
      <c r="B208" s="456"/>
      <c r="C208" s="468"/>
      <c r="D208" s="454"/>
      <c r="E208" s="494"/>
      <c r="F208" s="455"/>
      <c r="G208" s="455"/>
      <c r="H208" s="455"/>
      <c r="I208" s="454"/>
      <c r="J208" s="455"/>
      <c r="K208" s="455"/>
    </row>
    <row r="209" spans="1:11" ht="16.5">
      <c r="A209" s="454"/>
      <c r="B209" s="456"/>
      <c r="C209" s="468"/>
      <c r="D209" s="454"/>
      <c r="E209" s="494"/>
      <c r="F209" s="455"/>
      <c r="G209" s="455"/>
      <c r="H209" s="455"/>
      <c r="I209" s="454"/>
      <c r="J209" s="455"/>
      <c r="K209" s="455"/>
    </row>
    <row r="210" spans="1:11" ht="16.5" customHeight="1">
      <c r="A210" s="454"/>
      <c r="B210" s="456"/>
      <c r="C210" s="468"/>
      <c r="D210" s="454"/>
      <c r="E210" s="494"/>
      <c r="F210" s="455"/>
      <c r="G210" s="455"/>
      <c r="H210" s="455"/>
      <c r="I210" s="454"/>
      <c r="J210" s="455"/>
      <c r="K210" s="455"/>
    </row>
    <row r="211" spans="1:11" ht="16.5">
      <c r="A211" s="454"/>
      <c r="B211" s="456"/>
      <c r="C211" s="468"/>
      <c r="D211" s="454"/>
      <c r="E211" s="494"/>
      <c r="F211" s="455"/>
      <c r="G211" s="455"/>
      <c r="H211" s="455"/>
      <c r="I211" s="454"/>
      <c r="J211" s="455"/>
      <c r="K211" s="455"/>
    </row>
    <row r="212" spans="1:11" ht="16.5" customHeight="1">
      <c r="A212" s="454"/>
      <c r="B212" s="456"/>
      <c r="C212" s="468"/>
      <c r="D212" s="454"/>
      <c r="E212" s="494"/>
      <c r="F212" s="455"/>
      <c r="G212" s="455"/>
      <c r="H212" s="455"/>
      <c r="I212" s="454"/>
      <c r="J212" s="455"/>
      <c r="K212" s="455"/>
    </row>
    <row r="213" spans="1:11" ht="16.5">
      <c r="A213" s="454"/>
      <c r="B213" s="456"/>
      <c r="C213" s="468"/>
      <c r="D213" s="454"/>
      <c r="E213" s="494"/>
      <c r="F213" s="455"/>
      <c r="G213" s="455"/>
      <c r="H213" s="455"/>
      <c r="I213" s="454"/>
      <c r="J213" s="455"/>
      <c r="K213" s="455"/>
    </row>
    <row r="214" spans="1:11" ht="16.5" customHeight="1">
      <c r="A214" s="454"/>
      <c r="B214" s="456"/>
      <c r="C214" s="468"/>
      <c r="D214" s="454"/>
      <c r="E214" s="494"/>
      <c r="F214" s="455"/>
      <c r="G214" s="455"/>
      <c r="H214" s="455"/>
      <c r="I214" s="454"/>
      <c r="J214" s="455"/>
      <c r="K214" s="455"/>
    </row>
    <row r="215" spans="1:11" ht="16.5">
      <c r="A215" s="454"/>
      <c r="B215" s="456"/>
      <c r="C215" s="468"/>
      <c r="D215" s="454"/>
      <c r="E215" s="494"/>
      <c r="F215" s="455"/>
      <c r="G215" s="455"/>
      <c r="H215" s="455"/>
      <c r="I215" s="454"/>
      <c r="J215" s="455"/>
      <c r="K215" s="455"/>
    </row>
    <row r="216" spans="1:11" ht="16.5" customHeight="1">
      <c r="A216" s="454"/>
      <c r="B216" s="456"/>
      <c r="C216" s="468"/>
      <c r="D216" s="454"/>
      <c r="E216" s="494"/>
      <c r="F216" s="455"/>
      <c r="G216" s="455"/>
      <c r="H216" s="455"/>
      <c r="I216" s="454"/>
      <c r="J216" s="455"/>
      <c r="K216" s="455"/>
    </row>
    <row r="217" spans="1:11" ht="16.5">
      <c r="A217" s="454"/>
      <c r="B217" s="456"/>
      <c r="C217" s="468"/>
      <c r="D217" s="454"/>
      <c r="E217" s="494"/>
      <c r="F217" s="455"/>
      <c r="G217" s="455"/>
      <c r="H217" s="455"/>
      <c r="I217" s="454"/>
      <c r="J217" s="455"/>
      <c r="K217" s="455"/>
    </row>
    <row r="218" spans="1:11" ht="16.5" customHeight="1">
      <c r="A218" s="454"/>
      <c r="B218" s="456"/>
      <c r="C218" s="468"/>
      <c r="D218" s="454"/>
      <c r="E218" s="494"/>
      <c r="F218" s="455"/>
      <c r="G218" s="455"/>
      <c r="H218" s="455"/>
      <c r="I218" s="454"/>
      <c r="J218" s="455"/>
      <c r="K218" s="455"/>
    </row>
    <row r="219" spans="1:11" ht="16.5">
      <c r="A219" s="454"/>
      <c r="B219" s="456"/>
      <c r="C219" s="468"/>
      <c r="D219" s="454"/>
      <c r="E219" s="494"/>
      <c r="F219" s="455"/>
      <c r="G219" s="455"/>
      <c r="H219" s="455"/>
      <c r="I219" s="454"/>
      <c r="J219" s="455"/>
      <c r="K219" s="455"/>
    </row>
    <row r="220" spans="1:11" ht="16.5" customHeight="1">
      <c r="A220" s="454"/>
      <c r="B220" s="456"/>
      <c r="C220" s="468"/>
      <c r="D220" s="454"/>
      <c r="E220" s="494"/>
      <c r="F220" s="455"/>
      <c r="G220" s="455"/>
      <c r="H220" s="455"/>
      <c r="I220" s="454"/>
      <c r="J220" s="455"/>
      <c r="K220" s="455"/>
    </row>
    <row r="221" spans="1:11" ht="16.5">
      <c r="A221" s="454"/>
      <c r="B221" s="456"/>
      <c r="C221" s="468"/>
      <c r="D221" s="454"/>
      <c r="E221" s="494"/>
      <c r="F221" s="455"/>
      <c r="G221" s="455"/>
      <c r="H221" s="455"/>
      <c r="I221" s="454"/>
      <c r="J221" s="455"/>
      <c r="K221" s="455"/>
    </row>
    <row r="222" spans="1:11" ht="16.5" customHeight="1">
      <c r="A222" s="454"/>
      <c r="B222" s="456"/>
      <c r="C222" s="468"/>
      <c r="D222" s="454"/>
      <c r="E222" s="494"/>
      <c r="F222" s="455"/>
      <c r="G222" s="455"/>
      <c r="H222" s="455"/>
      <c r="I222" s="454"/>
      <c r="J222" s="455"/>
      <c r="K222" s="455"/>
    </row>
    <row r="223" spans="1:11" ht="16.5">
      <c r="A223" s="454"/>
      <c r="B223" s="456"/>
      <c r="C223" s="468"/>
      <c r="D223" s="454"/>
      <c r="E223" s="494"/>
      <c r="F223" s="455"/>
      <c r="G223" s="455"/>
      <c r="H223" s="455"/>
      <c r="I223" s="454"/>
      <c r="J223" s="455"/>
      <c r="K223" s="455"/>
    </row>
    <row r="224" spans="1:11" ht="16.5" customHeight="1">
      <c r="A224" s="454"/>
      <c r="B224" s="456"/>
      <c r="C224" s="468"/>
      <c r="D224" s="454"/>
      <c r="E224" s="494"/>
      <c r="F224" s="455"/>
      <c r="G224" s="455"/>
      <c r="H224" s="455"/>
      <c r="I224" s="454"/>
      <c r="J224" s="455"/>
      <c r="K224" s="455"/>
    </row>
    <row r="225" spans="1:11" ht="16.5">
      <c r="A225" s="454"/>
      <c r="B225" s="456"/>
      <c r="C225" s="468"/>
      <c r="D225" s="454"/>
      <c r="E225" s="494"/>
      <c r="F225" s="455"/>
      <c r="G225" s="455"/>
      <c r="H225" s="455"/>
      <c r="I225" s="454"/>
      <c r="J225" s="455"/>
      <c r="K225" s="455"/>
    </row>
    <row r="226" spans="1:11" ht="16.5" customHeight="1">
      <c r="A226" s="454"/>
      <c r="B226" s="456"/>
      <c r="C226" s="468"/>
      <c r="D226" s="454"/>
      <c r="E226" s="494"/>
      <c r="F226" s="455"/>
      <c r="G226" s="455"/>
      <c r="H226" s="455"/>
      <c r="I226" s="454"/>
      <c r="J226" s="455"/>
      <c r="K226" s="455"/>
    </row>
    <row r="227" spans="1:11" ht="16.5">
      <c r="A227" s="454"/>
      <c r="B227" s="456"/>
      <c r="C227" s="468"/>
      <c r="D227" s="454"/>
      <c r="E227" s="494"/>
      <c r="F227" s="455"/>
      <c r="G227" s="455"/>
      <c r="H227" s="455"/>
      <c r="I227" s="454"/>
      <c r="J227" s="455"/>
      <c r="K227" s="455"/>
    </row>
    <row r="228" spans="1:11" ht="16.5" customHeight="1">
      <c r="A228" s="454"/>
      <c r="B228" s="456"/>
      <c r="C228" s="468"/>
      <c r="D228" s="454"/>
      <c r="E228" s="494"/>
      <c r="F228" s="455"/>
      <c r="G228" s="455"/>
      <c r="H228" s="455"/>
      <c r="I228" s="454"/>
      <c r="J228" s="455"/>
      <c r="K228" s="455"/>
    </row>
    <row r="229" spans="1:11" ht="16.5">
      <c r="A229" s="454"/>
      <c r="B229" s="456"/>
      <c r="C229" s="468"/>
      <c r="D229" s="454"/>
      <c r="E229" s="494"/>
      <c r="F229" s="455"/>
      <c r="G229" s="455"/>
      <c r="H229" s="455"/>
      <c r="I229" s="454"/>
      <c r="J229" s="455"/>
      <c r="K229" s="455"/>
    </row>
    <row r="230" spans="1:11" ht="16.5" customHeight="1">
      <c r="A230" s="454"/>
      <c r="B230" s="456"/>
      <c r="C230" s="468"/>
      <c r="D230" s="454"/>
      <c r="E230" s="494"/>
      <c r="F230" s="455"/>
      <c r="G230" s="455"/>
      <c r="H230" s="455"/>
      <c r="I230" s="454"/>
      <c r="J230" s="455"/>
      <c r="K230" s="455"/>
    </row>
    <row r="231" spans="1:11" ht="16.5">
      <c r="A231" s="454"/>
      <c r="B231" s="456"/>
      <c r="C231" s="468"/>
      <c r="D231" s="454"/>
      <c r="E231" s="494"/>
      <c r="F231" s="455"/>
      <c r="G231" s="455"/>
      <c r="H231" s="455"/>
      <c r="I231" s="454"/>
      <c r="J231" s="455"/>
      <c r="K231" s="455"/>
    </row>
    <row r="232" spans="1:11" ht="16.5" customHeight="1">
      <c r="A232" s="454"/>
      <c r="B232" s="456"/>
      <c r="C232" s="468"/>
      <c r="D232" s="454"/>
      <c r="E232" s="494"/>
      <c r="F232" s="455"/>
      <c r="G232" s="455"/>
      <c r="H232" s="455"/>
      <c r="I232" s="454"/>
      <c r="J232" s="455"/>
      <c r="K232" s="455"/>
    </row>
    <row r="233" spans="1:11" ht="16.5">
      <c r="A233" s="454"/>
      <c r="B233" s="456"/>
      <c r="C233" s="468"/>
      <c r="D233" s="454"/>
      <c r="E233" s="494"/>
      <c r="F233" s="455"/>
      <c r="G233" s="455"/>
      <c r="H233" s="455"/>
      <c r="I233" s="454"/>
      <c r="J233" s="455"/>
      <c r="K233" s="455"/>
    </row>
    <row r="234" spans="1:11" ht="16.5" customHeight="1">
      <c r="A234" s="454"/>
      <c r="B234" s="456"/>
      <c r="C234" s="468"/>
      <c r="D234" s="454"/>
      <c r="E234" s="494"/>
      <c r="F234" s="455"/>
      <c r="G234" s="455"/>
      <c r="H234" s="455"/>
      <c r="I234" s="454"/>
      <c r="J234" s="455"/>
      <c r="K234" s="455"/>
    </row>
    <row r="235" spans="1:11" ht="16.5">
      <c r="A235" s="454"/>
      <c r="B235" s="456"/>
      <c r="C235" s="468"/>
      <c r="D235" s="454"/>
      <c r="E235" s="494"/>
      <c r="F235" s="455"/>
      <c r="G235" s="455"/>
      <c r="H235" s="455"/>
      <c r="I235" s="454"/>
      <c r="J235" s="455"/>
      <c r="K235" s="455"/>
    </row>
  </sheetData>
  <sheetProtection/>
  <mergeCells count="9">
    <mergeCell ref="H1:I1"/>
    <mergeCell ref="B2:J2"/>
    <mergeCell ref="A3:J3"/>
    <mergeCell ref="A4:A5"/>
    <mergeCell ref="B4:B5"/>
    <mergeCell ref="C4:C5"/>
    <mergeCell ref="D4:D5"/>
    <mergeCell ref="E4:E5"/>
    <mergeCell ref="F4:J4"/>
  </mergeCells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70" zoomScaleNormal="70" zoomScaleSheetLayoutView="70" zoomScalePageLayoutView="0" workbookViewId="0" topLeftCell="A1">
      <selection activeCell="F8" sqref="F8"/>
    </sheetView>
  </sheetViews>
  <sheetFormatPr defaultColWidth="9.140625" defaultRowHeight="12.75"/>
  <cols>
    <col min="1" max="1" width="7.28125" style="546" customWidth="1"/>
    <col min="2" max="2" width="38.57421875" style="546" customWidth="1"/>
    <col min="3" max="3" width="15.00390625" style="546" customWidth="1"/>
    <col min="4" max="5" width="14.7109375" style="548" customWidth="1"/>
    <col min="6" max="10" width="13.8515625" style="546" customWidth="1"/>
    <col min="11" max="11" width="8.421875" style="546" hidden="1" customWidth="1"/>
    <col min="12" max="16384" width="9.140625" style="546" customWidth="1"/>
  </cols>
  <sheetData>
    <row r="1" spans="1:11" s="430" customFormat="1" ht="26.25" customHeight="1">
      <c r="A1" s="545"/>
      <c r="B1" s="545" t="s">
        <v>405</v>
      </c>
      <c r="C1" s="545"/>
      <c r="D1" s="545"/>
      <c r="E1" s="545"/>
      <c r="F1" s="545"/>
      <c r="G1" s="1062" t="s">
        <v>560</v>
      </c>
      <c r="H1" s="1062"/>
      <c r="I1" s="1063" t="s">
        <v>566</v>
      </c>
      <c r="J1" s="1063"/>
      <c r="K1" s="545"/>
    </row>
    <row r="2" spans="1:11" ht="24.75" customHeight="1">
      <c r="A2" s="553"/>
      <c r="B2" s="1066" t="str">
        <f>'BM7(B)'!B2:J2</f>
        <v>Huyện Tuần Giáo</v>
      </c>
      <c r="C2" s="1066"/>
      <c r="D2" s="1066"/>
      <c r="E2" s="1066"/>
      <c r="F2" s="1066"/>
      <c r="G2" s="1066"/>
      <c r="H2" s="1066"/>
      <c r="I2" s="1066"/>
      <c r="J2" s="1066"/>
      <c r="K2" s="1066"/>
    </row>
    <row r="3" spans="1:10" ht="34.5" customHeight="1">
      <c r="A3" s="1064" t="s">
        <v>516</v>
      </c>
      <c r="B3" s="1064"/>
      <c r="C3" s="1064"/>
      <c r="D3" s="1064"/>
      <c r="E3" s="1064"/>
      <c r="F3" s="1064"/>
      <c r="G3" s="1064"/>
      <c r="H3" s="1064"/>
      <c r="I3" s="1064"/>
      <c r="J3" s="1064"/>
    </row>
    <row r="4" spans="1:9" ht="28.5" customHeight="1">
      <c r="A4" s="547"/>
      <c r="B4" s="547"/>
      <c r="C4" s="547"/>
      <c r="D4" s="547"/>
      <c r="E4" s="547"/>
      <c r="F4" s="547"/>
      <c r="G4" s="547"/>
      <c r="H4" s="547"/>
      <c r="I4" s="547"/>
    </row>
    <row r="5" spans="1:10" s="777" customFormat="1" ht="31.5" customHeight="1">
      <c r="A5" s="1065" t="s">
        <v>0</v>
      </c>
      <c r="B5" s="1065" t="s">
        <v>287</v>
      </c>
      <c r="C5" s="1065" t="s">
        <v>184</v>
      </c>
      <c r="D5" s="1052" t="s">
        <v>563</v>
      </c>
      <c r="E5" s="1052" t="s">
        <v>554</v>
      </c>
      <c r="F5" s="1067" t="s">
        <v>562</v>
      </c>
      <c r="G5" s="1068"/>
      <c r="H5" s="1068"/>
      <c r="I5" s="1068"/>
      <c r="J5" s="1069"/>
    </row>
    <row r="6" spans="1:10" s="777" customFormat="1" ht="36.75" customHeight="1">
      <c r="A6" s="1065"/>
      <c r="B6" s="1065"/>
      <c r="C6" s="1065"/>
      <c r="D6" s="1052"/>
      <c r="E6" s="1052"/>
      <c r="F6" s="772" t="s">
        <v>555</v>
      </c>
      <c r="G6" s="772" t="s">
        <v>556</v>
      </c>
      <c r="H6" s="772" t="s">
        <v>557</v>
      </c>
      <c r="I6" s="772" t="s">
        <v>558</v>
      </c>
      <c r="J6" s="772" t="s">
        <v>559</v>
      </c>
    </row>
    <row r="7" spans="1:10" s="777" customFormat="1" ht="19.5" customHeight="1">
      <c r="A7" s="776" t="s">
        <v>101</v>
      </c>
      <c r="B7" s="778" t="s">
        <v>442</v>
      </c>
      <c r="C7" s="776"/>
      <c r="D7" s="779"/>
      <c r="E7" s="780"/>
      <c r="F7" s="781"/>
      <c r="G7" s="781"/>
      <c r="H7" s="781"/>
      <c r="I7" s="781"/>
      <c r="J7" s="781"/>
    </row>
    <row r="8" spans="1:10" s="777" customFormat="1" ht="33.75" customHeight="1">
      <c r="A8" s="782">
        <v>1</v>
      </c>
      <c r="B8" s="783" t="s">
        <v>690</v>
      </c>
      <c r="C8" s="796" t="s">
        <v>442</v>
      </c>
      <c r="D8" s="779"/>
      <c r="E8" s="780"/>
      <c r="F8" s="781"/>
      <c r="G8" s="781"/>
      <c r="H8" s="781"/>
      <c r="I8" s="781"/>
      <c r="J8" s="781"/>
    </row>
    <row r="9" spans="1:10" s="777" customFormat="1" ht="49.5" customHeight="1">
      <c r="A9" s="782">
        <v>2</v>
      </c>
      <c r="B9" s="783" t="s">
        <v>691</v>
      </c>
      <c r="C9" s="796" t="s">
        <v>442</v>
      </c>
      <c r="D9" s="785">
        <v>49</v>
      </c>
      <c r="E9" s="786">
        <f>SUM(F9:J9)/5</f>
        <v>68</v>
      </c>
      <c r="F9" s="787">
        <f>58+F10</f>
        <v>62</v>
      </c>
      <c r="G9" s="787">
        <f>F9+G10</f>
        <v>65</v>
      </c>
      <c r="H9" s="787">
        <f>G9+H10</f>
        <v>68</v>
      </c>
      <c r="I9" s="787">
        <f>H9+I10</f>
        <v>71</v>
      </c>
      <c r="J9" s="787">
        <f>I9+J10</f>
        <v>74</v>
      </c>
    </row>
    <row r="10" spans="1:10" s="777" customFormat="1" ht="19.5" customHeight="1">
      <c r="A10" s="427">
        <v>3</v>
      </c>
      <c r="B10" s="785" t="s">
        <v>692</v>
      </c>
      <c r="C10" s="798" t="s">
        <v>442</v>
      </c>
      <c r="D10" s="789">
        <v>4</v>
      </c>
      <c r="E10" s="785">
        <f>SUM(F10:J10)/5</f>
        <v>3.2</v>
      </c>
      <c r="F10" s="790">
        <v>4</v>
      </c>
      <c r="G10" s="790">
        <v>3</v>
      </c>
      <c r="H10" s="790">
        <v>3</v>
      </c>
      <c r="I10" s="790">
        <v>3</v>
      </c>
      <c r="J10" s="790">
        <v>3</v>
      </c>
    </row>
    <row r="11" spans="1:11" s="777" customFormat="1" ht="33.75" customHeight="1">
      <c r="A11" s="784">
        <v>4</v>
      </c>
      <c r="B11" s="783" t="s">
        <v>693</v>
      </c>
      <c r="C11" s="796" t="s">
        <v>347</v>
      </c>
      <c r="D11" s="785">
        <v>44</v>
      </c>
      <c r="E11" s="786">
        <f>SUM(F11:J11)/5</f>
        <v>48</v>
      </c>
      <c r="F11" s="787">
        <f aca="true" t="shared" si="0" ref="F11:K11">F10*15</f>
        <v>60</v>
      </c>
      <c r="G11" s="787">
        <f t="shared" si="0"/>
        <v>45</v>
      </c>
      <c r="H11" s="787">
        <f t="shared" si="0"/>
        <v>45</v>
      </c>
      <c r="I11" s="787">
        <f t="shared" si="0"/>
        <v>45</v>
      </c>
      <c r="J11" s="787">
        <f t="shared" si="0"/>
        <v>45</v>
      </c>
      <c r="K11" s="781">
        <f t="shared" si="0"/>
        <v>0</v>
      </c>
    </row>
    <row r="12" spans="1:10" s="777" customFormat="1" ht="33.75" customHeight="1">
      <c r="A12" s="782">
        <v>5</v>
      </c>
      <c r="B12" s="783" t="s">
        <v>694</v>
      </c>
      <c r="C12" s="796" t="s">
        <v>442</v>
      </c>
      <c r="D12" s="779"/>
      <c r="E12" s="780"/>
      <c r="F12" s="781"/>
      <c r="G12" s="781"/>
      <c r="H12" s="781"/>
      <c r="I12" s="781"/>
      <c r="J12" s="781"/>
    </row>
    <row r="13" spans="1:10" s="777" customFormat="1" ht="19.5" customHeight="1">
      <c r="A13" s="776" t="s">
        <v>101</v>
      </c>
      <c r="B13" s="788" t="s">
        <v>445</v>
      </c>
      <c r="C13" s="797"/>
      <c r="D13" s="779"/>
      <c r="E13" s="779"/>
      <c r="F13" s="785"/>
      <c r="G13" s="785"/>
      <c r="H13" s="785"/>
      <c r="I13" s="785"/>
      <c r="J13" s="779"/>
    </row>
    <row r="14" spans="1:10" s="777" customFormat="1" ht="19.5" customHeight="1">
      <c r="A14" s="427">
        <v>1</v>
      </c>
      <c r="B14" s="785" t="s">
        <v>446</v>
      </c>
      <c r="C14" s="798" t="s">
        <v>445</v>
      </c>
      <c r="D14" s="789">
        <v>17.4</v>
      </c>
      <c r="E14" s="785">
        <f>SUM(F14:J14)/5</f>
        <v>40</v>
      </c>
      <c r="F14" s="790">
        <f>'BM8'!J14+'BM8(B)'!F16</f>
        <v>34</v>
      </c>
      <c r="G14" s="790">
        <f>F14+G16</f>
        <v>37</v>
      </c>
      <c r="H14" s="790">
        <f>G14+H16</f>
        <v>40</v>
      </c>
      <c r="I14" s="790">
        <f>H14+I16</f>
        <v>43</v>
      </c>
      <c r="J14" s="790">
        <f>I14+J16</f>
        <v>46</v>
      </c>
    </row>
    <row r="15" spans="1:10" s="777" customFormat="1" ht="19.5" customHeight="1">
      <c r="A15" s="427"/>
      <c r="B15" s="791" t="s">
        <v>214</v>
      </c>
      <c r="C15" s="798"/>
      <c r="D15" s="789"/>
      <c r="E15" s="785"/>
      <c r="F15" s="785"/>
      <c r="G15" s="785"/>
      <c r="H15" s="785"/>
      <c r="I15" s="785"/>
      <c r="J15" s="785"/>
    </row>
    <row r="16" spans="1:10" s="777" customFormat="1" ht="19.5" customHeight="1">
      <c r="A16" s="792" t="s">
        <v>284</v>
      </c>
      <c r="B16" s="785" t="s">
        <v>447</v>
      </c>
      <c r="C16" s="798" t="s">
        <v>445</v>
      </c>
      <c r="D16" s="789">
        <v>5.2</v>
      </c>
      <c r="E16" s="785">
        <f>SUM(F16:J16)/5</f>
        <v>3</v>
      </c>
      <c r="F16" s="790">
        <v>3</v>
      </c>
      <c r="G16" s="790">
        <v>3</v>
      </c>
      <c r="H16" s="790">
        <v>3</v>
      </c>
      <c r="I16" s="790">
        <v>3</v>
      </c>
      <c r="J16" s="790">
        <v>3</v>
      </c>
    </row>
    <row r="17" spans="1:10" s="777" customFormat="1" ht="19.5" customHeight="1">
      <c r="A17" s="792" t="s">
        <v>284</v>
      </c>
      <c r="B17" s="785" t="s">
        <v>448</v>
      </c>
      <c r="C17" s="798" t="s">
        <v>445</v>
      </c>
      <c r="D17" s="789"/>
      <c r="E17" s="785"/>
      <c r="F17" s="790"/>
      <c r="G17" s="790"/>
      <c r="H17" s="790"/>
      <c r="I17" s="790"/>
      <c r="J17" s="790"/>
    </row>
    <row r="18" spans="1:10" s="777" customFormat="1" ht="19.5" customHeight="1">
      <c r="A18" s="427">
        <v>2</v>
      </c>
      <c r="B18" s="785" t="s">
        <v>449</v>
      </c>
      <c r="C18" s="798" t="s">
        <v>409</v>
      </c>
      <c r="D18" s="789">
        <v>177.8</v>
      </c>
      <c r="E18" s="785">
        <f>SUM(F18:J18)/5</f>
        <v>342</v>
      </c>
      <c r="F18" s="793">
        <f>'BM8'!J18+'BM8(B)'!F16*7</f>
        <v>300</v>
      </c>
      <c r="G18" s="793">
        <f>F18+G16*7</f>
        <v>321</v>
      </c>
      <c r="H18" s="793">
        <f>G18+H16*7</f>
        <v>342</v>
      </c>
      <c r="I18" s="793">
        <f>H18+I16*7</f>
        <v>363</v>
      </c>
      <c r="J18" s="793">
        <f>I18+J16*7</f>
        <v>384</v>
      </c>
    </row>
    <row r="19" spans="1:10" s="777" customFormat="1" ht="19.5" customHeight="1">
      <c r="A19" s="427">
        <v>3</v>
      </c>
      <c r="B19" s="785" t="s">
        <v>450</v>
      </c>
      <c r="C19" s="798" t="s">
        <v>409</v>
      </c>
      <c r="D19" s="789">
        <v>177.8</v>
      </c>
      <c r="E19" s="785">
        <f>SUM(F19:J19)/5</f>
        <v>342</v>
      </c>
      <c r="F19" s="793">
        <f>F18</f>
        <v>300</v>
      </c>
      <c r="G19" s="793">
        <f>G18</f>
        <v>321</v>
      </c>
      <c r="H19" s="793">
        <f>H18</f>
        <v>342</v>
      </c>
      <c r="I19" s="793">
        <f>I18</f>
        <v>363</v>
      </c>
      <c r="J19" s="793">
        <f>J18</f>
        <v>384</v>
      </c>
    </row>
    <row r="20" spans="1:10" s="777" customFormat="1" ht="36" customHeight="1">
      <c r="A20" s="427"/>
      <c r="B20" s="791" t="s">
        <v>687</v>
      </c>
      <c r="C20" s="798" t="s">
        <v>409</v>
      </c>
      <c r="D20" s="789">
        <v>177.8</v>
      </c>
      <c r="E20" s="785">
        <f>SUM(F20:J20)/5</f>
        <v>342</v>
      </c>
      <c r="F20" s="793">
        <f>F18</f>
        <v>300</v>
      </c>
      <c r="G20" s="793">
        <f>G18</f>
        <v>321</v>
      </c>
      <c r="H20" s="793">
        <f>H18</f>
        <v>342</v>
      </c>
      <c r="I20" s="793">
        <f>I18</f>
        <v>363</v>
      </c>
      <c r="J20" s="793">
        <f>J18</f>
        <v>384</v>
      </c>
    </row>
    <row r="21" spans="1:10" s="777" customFormat="1" ht="19.5" customHeight="1">
      <c r="A21" s="776" t="s">
        <v>102</v>
      </c>
      <c r="B21" s="788" t="s">
        <v>451</v>
      </c>
      <c r="C21" s="798"/>
      <c r="D21" s="779"/>
      <c r="E21" s="779"/>
      <c r="F21" s="785"/>
      <c r="G21" s="785"/>
      <c r="H21" s="785"/>
      <c r="I21" s="785"/>
      <c r="J21" s="785"/>
    </row>
    <row r="22" spans="1:10" s="777" customFormat="1" ht="19.5" customHeight="1">
      <c r="A22" s="427">
        <v>1</v>
      </c>
      <c r="B22" s="785" t="s">
        <v>452</v>
      </c>
      <c r="C22" s="798" t="s">
        <v>695</v>
      </c>
      <c r="D22" s="779"/>
      <c r="E22" s="779"/>
      <c r="F22" s="790"/>
      <c r="G22" s="790"/>
      <c r="H22" s="790"/>
      <c r="I22" s="790"/>
      <c r="J22" s="790"/>
    </row>
    <row r="23" spans="1:10" s="777" customFormat="1" ht="19.5" customHeight="1">
      <c r="A23" s="427"/>
      <c r="B23" s="791" t="s">
        <v>214</v>
      </c>
      <c r="C23" s="798"/>
      <c r="D23" s="779"/>
      <c r="E23" s="779"/>
      <c r="F23" s="785"/>
      <c r="G23" s="785"/>
      <c r="H23" s="785"/>
      <c r="I23" s="785"/>
      <c r="J23" s="785"/>
    </row>
    <row r="24" spans="1:10" s="777" customFormat="1" ht="19.5" customHeight="1">
      <c r="A24" s="792" t="s">
        <v>284</v>
      </c>
      <c r="B24" s="785" t="s">
        <v>453</v>
      </c>
      <c r="C24" s="798" t="s">
        <v>695</v>
      </c>
      <c r="D24" s="779"/>
      <c r="E24" s="779"/>
      <c r="F24" s="790"/>
      <c r="G24" s="790"/>
      <c r="H24" s="790"/>
      <c r="I24" s="790"/>
      <c r="J24" s="790"/>
    </row>
    <row r="25" spans="1:10" s="777" customFormat="1" ht="19.5" customHeight="1">
      <c r="A25" s="792" t="s">
        <v>284</v>
      </c>
      <c r="B25" s="785" t="s">
        <v>454</v>
      </c>
      <c r="C25" s="798" t="s">
        <v>695</v>
      </c>
      <c r="D25" s="779"/>
      <c r="E25" s="779"/>
      <c r="F25" s="785"/>
      <c r="G25" s="785"/>
      <c r="H25" s="785"/>
      <c r="I25" s="785"/>
      <c r="J25" s="785"/>
    </row>
    <row r="26" spans="1:10" s="777" customFormat="1" ht="19.5" customHeight="1">
      <c r="A26" s="427">
        <v>2</v>
      </c>
      <c r="B26" s="785" t="s">
        <v>455</v>
      </c>
      <c r="C26" s="798" t="s">
        <v>445</v>
      </c>
      <c r="D26" s="779"/>
      <c r="E26" s="779"/>
      <c r="F26" s="790"/>
      <c r="G26" s="790"/>
      <c r="H26" s="790"/>
      <c r="I26" s="790"/>
      <c r="J26" s="790"/>
    </row>
    <row r="27" spans="1:10" s="777" customFormat="1" ht="19.5" customHeight="1">
      <c r="A27" s="427">
        <v>3</v>
      </c>
      <c r="B27" s="785" t="s">
        <v>696</v>
      </c>
      <c r="C27" s="798" t="s">
        <v>409</v>
      </c>
      <c r="D27" s="779"/>
      <c r="E27" s="779"/>
      <c r="F27" s="790"/>
      <c r="G27" s="790"/>
      <c r="H27" s="790"/>
      <c r="I27" s="790"/>
      <c r="J27" s="790"/>
    </row>
    <row r="28" spans="1:10" s="777" customFormat="1" ht="19.5" customHeight="1">
      <c r="A28" s="776" t="s">
        <v>115</v>
      </c>
      <c r="B28" s="788" t="s">
        <v>457</v>
      </c>
      <c r="C28" s="797"/>
      <c r="D28" s="779"/>
      <c r="E28" s="779"/>
      <c r="F28" s="785"/>
      <c r="G28" s="785"/>
      <c r="H28" s="785"/>
      <c r="I28" s="785"/>
      <c r="J28" s="785"/>
    </row>
    <row r="29" spans="1:10" s="777" customFormat="1" ht="19.5" customHeight="1">
      <c r="A29" s="427">
        <v>1</v>
      </c>
      <c r="B29" s="785" t="s">
        <v>458</v>
      </c>
      <c r="C29" s="798" t="s">
        <v>459</v>
      </c>
      <c r="D29" s="779"/>
      <c r="E29" s="779"/>
      <c r="F29" s="790"/>
      <c r="G29" s="790"/>
      <c r="H29" s="790"/>
      <c r="I29" s="790"/>
      <c r="J29" s="790"/>
    </row>
    <row r="30" spans="1:10" s="777" customFormat="1" ht="33" customHeight="1">
      <c r="A30" s="427"/>
      <c r="B30" s="791" t="s">
        <v>688</v>
      </c>
      <c r="C30" s="798"/>
      <c r="D30" s="779"/>
      <c r="E30" s="779"/>
      <c r="F30" s="790"/>
      <c r="G30" s="790"/>
      <c r="H30" s="790"/>
      <c r="I30" s="790"/>
      <c r="J30" s="790"/>
    </row>
    <row r="31" spans="1:10" s="777" customFormat="1" ht="19.5" customHeight="1">
      <c r="A31" s="427">
        <v>2</v>
      </c>
      <c r="B31" s="785" t="s">
        <v>460</v>
      </c>
      <c r="C31" s="798" t="s">
        <v>461</v>
      </c>
      <c r="D31" s="794"/>
      <c r="E31" s="794"/>
      <c r="F31" s="790"/>
      <c r="G31" s="790"/>
      <c r="H31" s="790"/>
      <c r="I31" s="790"/>
      <c r="J31" s="790"/>
    </row>
    <row r="32" spans="1:10" s="777" customFormat="1" ht="35.25" customHeight="1">
      <c r="A32" s="785"/>
      <c r="B32" s="791" t="s">
        <v>689</v>
      </c>
      <c r="C32" s="798" t="s">
        <v>409</v>
      </c>
      <c r="D32" s="794"/>
      <c r="E32" s="794"/>
      <c r="F32" s="790"/>
      <c r="G32" s="790"/>
      <c r="H32" s="790"/>
      <c r="I32" s="790"/>
      <c r="J32" s="790"/>
    </row>
    <row r="33" spans="1:11" s="777" customFormat="1" ht="19.5" customHeight="1">
      <c r="A33" s="427">
        <v>3</v>
      </c>
      <c r="B33" s="785" t="s">
        <v>462</v>
      </c>
      <c r="C33" s="798" t="s">
        <v>409</v>
      </c>
      <c r="D33" s="794"/>
      <c r="E33" s="794"/>
      <c r="F33" s="790"/>
      <c r="G33" s="790"/>
      <c r="H33" s="790"/>
      <c r="I33" s="790"/>
      <c r="J33" s="790"/>
      <c r="K33" s="795"/>
    </row>
    <row r="34" spans="1:10" s="777" customFormat="1" ht="19.5" customHeight="1">
      <c r="A34" s="785"/>
      <c r="B34" s="791" t="s">
        <v>214</v>
      </c>
      <c r="C34" s="798"/>
      <c r="D34" s="794"/>
      <c r="E34" s="794"/>
      <c r="F34" s="790"/>
      <c r="G34" s="790"/>
      <c r="H34" s="790"/>
      <c r="I34" s="790"/>
      <c r="J34" s="790"/>
    </row>
    <row r="35" spans="1:10" s="777" customFormat="1" ht="19.5" customHeight="1">
      <c r="A35" s="792" t="s">
        <v>284</v>
      </c>
      <c r="B35" s="785" t="s">
        <v>463</v>
      </c>
      <c r="C35" s="798" t="s">
        <v>409</v>
      </c>
      <c r="D35" s="794"/>
      <c r="E35" s="794"/>
      <c r="F35" s="790"/>
      <c r="G35" s="790"/>
      <c r="H35" s="790"/>
      <c r="I35" s="790"/>
      <c r="J35" s="790"/>
    </row>
    <row r="36" spans="1:10" s="777" customFormat="1" ht="35.25" customHeight="1">
      <c r="A36" s="427" t="s">
        <v>284</v>
      </c>
      <c r="B36" s="785" t="s">
        <v>464</v>
      </c>
      <c r="C36" s="798" t="s">
        <v>409</v>
      </c>
      <c r="D36" s="794"/>
      <c r="E36" s="794"/>
      <c r="F36" s="790"/>
      <c r="G36" s="790"/>
      <c r="H36" s="790"/>
      <c r="I36" s="790"/>
      <c r="J36" s="790"/>
    </row>
  </sheetData>
  <sheetProtection/>
  <mergeCells count="10">
    <mergeCell ref="G1:H1"/>
    <mergeCell ref="I1:J1"/>
    <mergeCell ref="A3:J3"/>
    <mergeCell ref="A5:A6"/>
    <mergeCell ref="B5:B6"/>
    <mergeCell ref="B2:K2"/>
    <mergeCell ref="C5:C6"/>
    <mergeCell ref="D5:D6"/>
    <mergeCell ref="E5:E6"/>
    <mergeCell ref="F5:J5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7"/>
  <sheetViews>
    <sheetView zoomScale="70" zoomScaleNormal="70" zoomScalePageLayoutView="0" workbookViewId="0" topLeftCell="A8">
      <selection activeCell="E10" sqref="E10"/>
    </sheetView>
  </sheetViews>
  <sheetFormatPr defaultColWidth="9.140625" defaultRowHeight="12.75"/>
  <cols>
    <col min="1" max="1" width="5.8515625" style="405" customWidth="1"/>
    <col min="2" max="2" width="33.140625" style="382" customWidth="1"/>
    <col min="3" max="3" width="17.421875" style="383" customWidth="1"/>
    <col min="4" max="5" width="19.00390625" style="405" customWidth="1"/>
    <col min="6" max="6" width="16.28125" style="381" customWidth="1"/>
    <col min="7" max="7" width="15.28125" style="381" customWidth="1"/>
    <col min="8" max="8" width="17.00390625" style="381" customWidth="1"/>
    <col min="9" max="9" width="14.421875" style="381" customWidth="1"/>
    <col min="10" max="11" width="15.00390625" style="381" customWidth="1"/>
    <col min="12" max="12" width="16.57421875" style="381" customWidth="1"/>
    <col min="13" max="17" width="15.28125" style="381" customWidth="1"/>
    <col min="18" max="16384" width="9.140625" style="381" customWidth="1"/>
  </cols>
  <sheetData>
    <row r="1" spans="1:12" ht="36.75" customHeight="1">
      <c r="A1" s="381"/>
      <c r="B1" s="406" t="s">
        <v>553</v>
      </c>
      <c r="D1" s="383"/>
      <c r="E1" s="383"/>
      <c r="H1" s="465"/>
      <c r="I1" s="529" t="s">
        <v>332</v>
      </c>
      <c r="J1" s="965" t="s">
        <v>565</v>
      </c>
      <c r="K1" s="965"/>
      <c r="L1" s="965"/>
    </row>
    <row r="2" spans="1:12" ht="24.75" customHeight="1">
      <c r="A2" s="381"/>
      <c r="B2" s="966" t="str">
        <f>'BM1-CTTH'!B2:L2</f>
        <v>Huyện Tuần Giáo</v>
      </c>
      <c r="C2" s="966"/>
      <c r="D2" s="966"/>
      <c r="E2" s="966"/>
      <c r="F2" s="966"/>
      <c r="G2" s="966"/>
      <c r="H2" s="966"/>
      <c r="I2" s="966"/>
      <c r="J2" s="966"/>
      <c r="K2" s="966"/>
      <c r="L2" s="966"/>
    </row>
    <row r="3" spans="1:12" ht="37.5" customHeight="1">
      <c r="A3" s="967" t="s">
        <v>469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</row>
    <row r="4" spans="1:12" ht="16.5">
      <c r="A4" s="491"/>
      <c r="B4" s="411"/>
      <c r="C4" s="412"/>
      <c r="D4" s="491"/>
      <c r="E4" s="491"/>
      <c r="F4" s="384"/>
      <c r="G4" s="384"/>
      <c r="H4" s="384"/>
      <c r="I4" s="384"/>
      <c r="J4" s="384"/>
      <c r="K4" s="384"/>
      <c r="L4" s="386"/>
    </row>
    <row r="5" spans="1:12" ht="34.5" customHeight="1">
      <c r="A5" s="969" t="s">
        <v>0</v>
      </c>
      <c r="B5" s="969" t="s">
        <v>287</v>
      </c>
      <c r="C5" s="969" t="s">
        <v>184</v>
      </c>
      <c r="D5" s="969" t="s">
        <v>344</v>
      </c>
      <c r="E5" s="969" t="s">
        <v>329</v>
      </c>
      <c r="F5" s="971" t="s">
        <v>477</v>
      </c>
      <c r="G5" s="972"/>
      <c r="H5" s="972"/>
      <c r="I5" s="972"/>
      <c r="J5" s="973"/>
      <c r="K5" s="961" t="s">
        <v>478</v>
      </c>
      <c r="L5" s="961" t="s">
        <v>479</v>
      </c>
    </row>
    <row r="6" spans="1:12" s="388" customFormat="1" ht="60.75" customHeight="1">
      <c r="A6" s="970"/>
      <c r="B6" s="970"/>
      <c r="C6" s="970"/>
      <c r="D6" s="970"/>
      <c r="E6" s="970"/>
      <c r="F6" s="387" t="s">
        <v>701</v>
      </c>
      <c r="G6" s="387" t="s">
        <v>702</v>
      </c>
      <c r="H6" s="387" t="s">
        <v>703</v>
      </c>
      <c r="I6" s="387" t="s">
        <v>704</v>
      </c>
      <c r="J6" s="387" t="s">
        <v>705</v>
      </c>
      <c r="K6" s="961"/>
      <c r="L6" s="961"/>
    </row>
    <row r="7" spans="1:12" ht="36.75" customHeight="1">
      <c r="A7" s="389">
        <v>1</v>
      </c>
      <c r="B7" s="390" t="s">
        <v>345</v>
      </c>
      <c r="C7" s="391" t="s">
        <v>5</v>
      </c>
      <c r="D7" s="592"/>
      <c r="E7" s="592">
        <f>'BM1-CTTH'!E12</f>
        <v>4</v>
      </c>
      <c r="F7" s="592">
        <f>'BM1-CTTH'!F12</f>
        <v>3.6856083577164895</v>
      </c>
      <c r="G7" s="592">
        <f>'BM1-CTTH'!G12</f>
        <v>5.72384991265497</v>
      </c>
      <c r="H7" s="592">
        <f>'BM1-CTTH'!H12</f>
        <v>3.424559327043596</v>
      </c>
      <c r="I7" s="592">
        <f>'BM1-CTTH'!I12</f>
        <v>3.707623140441484</v>
      </c>
      <c r="J7" s="592">
        <f>'BM1-CTTH'!K12</f>
        <v>4.25</v>
      </c>
      <c r="K7" s="592">
        <f>'BM1-CTTH'!K10</f>
        <v>11.493815045296866</v>
      </c>
      <c r="L7" s="395" t="s">
        <v>36</v>
      </c>
    </row>
    <row r="8" spans="1:12" s="393" customFormat="1" ht="29.25" customHeight="1">
      <c r="A8" s="389">
        <v>2</v>
      </c>
      <c r="B8" s="390" t="s">
        <v>682</v>
      </c>
      <c r="C8" s="391" t="s">
        <v>347</v>
      </c>
      <c r="D8" s="592">
        <f>'BM1-CTTH'!D11</f>
        <v>532.6812</v>
      </c>
      <c r="E8" s="592">
        <f>'BM1-CTTH'!E11</f>
        <v>585.287886936</v>
      </c>
      <c r="F8" s="592">
        <f>'BM1-CTTH'!F11</f>
        <v>662.9738544000002</v>
      </c>
      <c r="G8" s="592">
        <f>'BM1-CTTH'!G11</f>
        <v>700.921482786</v>
      </c>
      <c r="H8" s="592">
        <f>'BM1-CTTH'!H11</f>
        <v>724.9249548000001</v>
      </c>
      <c r="I8" s="592">
        <f>'BM1-CTTH'!I11</f>
        <v>751.8024401749999</v>
      </c>
      <c r="J8" s="592">
        <f>'BM1-CTTH'!J11</f>
        <v>787.2</v>
      </c>
      <c r="K8" s="592">
        <f>'BM1-CTTH'!K11</f>
        <v>725.5645464322</v>
      </c>
      <c r="L8" s="395" t="s">
        <v>36</v>
      </c>
    </row>
    <row r="9" spans="1:12" s="393" customFormat="1" ht="29.25" customHeight="1">
      <c r="A9" s="389">
        <v>3</v>
      </c>
      <c r="B9" s="394" t="s">
        <v>348</v>
      </c>
      <c r="C9" s="387"/>
      <c r="D9" s="592"/>
      <c r="E9" s="592"/>
      <c r="F9" s="592"/>
      <c r="G9" s="710"/>
      <c r="H9" s="710"/>
      <c r="I9" s="710"/>
      <c r="J9" s="710"/>
      <c r="K9" s="710"/>
      <c r="L9" s="389"/>
    </row>
    <row r="10" spans="1:12" s="386" customFormat="1" ht="26.25" customHeight="1">
      <c r="A10" s="395"/>
      <c r="B10" s="583" t="s">
        <v>349</v>
      </c>
      <c r="C10" s="391" t="s">
        <v>361</v>
      </c>
      <c r="D10" s="711">
        <v>34013.4</v>
      </c>
      <c r="E10" s="711">
        <f>E11+E12</f>
        <v>175818.5</v>
      </c>
      <c r="F10" s="711">
        <f>F11+F12</f>
        <v>35889</v>
      </c>
      <c r="G10" s="711">
        <f>G11+G12</f>
        <v>36681</v>
      </c>
      <c r="H10" s="711">
        <f>H11+H12</f>
        <v>37630</v>
      </c>
      <c r="I10" s="711">
        <f>I11+I12</f>
        <v>37441</v>
      </c>
      <c r="J10" s="711">
        <v>37554.5</v>
      </c>
      <c r="K10" s="711">
        <f>SUM(F10:J10)</f>
        <v>185195.5</v>
      </c>
      <c r="L10" s="565" t="s">
        <v>36</v>
      </c>
    </row>
    <row r="11" spans="1:12" s="386" customFormat="1" ht="26.25" customHeight="1">
      <c r="A11" s="395"/>
      <c r="B11" s="583" t="s">
        <v>350</v>
      </c>
      <c r="C11" s="391" t="s">
        <v>361</v>
      </c>
      <c r="D11" s="711">
        <v>17904.4</v>
      </c>
      <c r="E11" s="592">
        <v>86057.9</v>
      </c>
      <c r="F11" s="592">
        <v>18099</v>
      </c>
      <c r="G11" s="592">
        <v>18333</v>
      </c>
      <c r="H11" s="592">
        <v>19371</v>
      </c>
      <c r="I11" s="592">
        <v>19207</v>
      </c>
      <c r="J11" s="592">
        <v>19497.2</v>
      </c>
      <c r="K11" s="711">
        <f>SUM(F11:J11)</f>
        <v>94507.2</v>
      </c>
      <c r="L11" s="565" t="s">
        <v>36</v>
      </c>
    </row>
    <row r="12" spans="1:12" s="386" customFormat="1" ht="26.25" customHeight="1">
      <c r="A12" s="395"/>
      <c r="B12" s="583" t="s">
        <v>351</v>
      </c>
      <c r="C12" s="391" t="s">
        <v>361</v>
      </c>
      <c r="D12" s="711">
        <f>+D10-D11</f>
        <v>16109</v>
      </c>
      <c r="E12" s="592">
        <v>89760.6</v>
      </c>
      <c r="F12" s="592">
        <v>17790</v>
      </c>
      <c r="G12" s="592">
        <v>18348</v>
      </c>
      <c r="H12" s="592">
        <v>18259</v>
      </c>
      <c r="I12" s="592">
        <v>18234</v>
      </c>
      <c r="J12" s="592">
        <v>18072.3</v>
      </c>
      <c r="K12" s="711">
        <f>SUM(F12:J12)</f>
        <v>90703.3</v>
      </c>
      <c r="L12" s="565" t="s">
        <v>36</v>
      </c>
    </row>
    <row r="13" spans="1:12" s="386" customFormat="1" ht="26.25" customHeight="1">
      <c r="A13" s="395"/>
      <c r="B13" s="583" t="s">
        <v>352</v>
      </c>
      <c r="C13" s="391" t="s">
        <v>361</v>
      </c>
      <c r="D13" s="711">
        <v>46.6</v>
      </c>
      <c r="E13" s="711">
        <v>63.32000000000001</v>
      </c>
      <c r="F13" s="592">
        <v>400</v>
      </c>
      <c r="G13" s="592">
        <v>424</v>
      </c>
      <c r="H13" s="592">
        <v>610</v>
      </c>
      <c r="I13" s="592">
        <v>390</v>
      </c>
      <c r="J13" s="592">
        <v>400</v>
      </c>
      <c r="K13" s="711">
        <f>SUM(F13:J13)</f>
        <v>2224</v>
      </c>
      <c r="L13" s="565" t="s">
        <v>36</v>
      </c>
    </row>
    <row r="14" spans="1:13" s="386" customFormat="1" ht="26.25" customHeight="1">
      <c r="A14" s="395"/>
      <c r="B14" s="583" t="s">
        <v>353</v>
      </c>
      <c r="C14" s="391" t="s">
        <v>361</v>
      </c>
      <c r="D14" s="711"/>
      <c r="E14" s="711"/>
      <c r="F14" s="711"/>
      <c r="G14" s="711"/>
      <c r="H14" s="711">
        <v>42.8</v>
      </c>
      <c r="I14" s="711">
        <v>250</v>
      </c>
      <c r="J14" s="711">
        <v>524</v>
      </c>
      <c r="K14" s="711">
        <f>J14+I14+H14+G14+F14</f>
        <v>816.8</v>
      </c>
      <c r="L14" s="584"/>
      <c r="M14" s="414"/>
    </row>
    <row r="15" spans="1:13" s="386" customFormat="1" ht="26.25" customHeight="1">
      <c r="A15" s="395"/>
      <c r="B15" s="583" t="s">
        <v>471</v>
      </c>
      <c r="C15" s="391"/>
      <c r="D15" s="711"/>
      <c r="E15" s="711"/>
      <c r="F15" s="711"/>
      <c r="G15" s="711"/>
      <c r="H15" s="711"/>
      <c r="I15" s="711"/>
      <c r="J15" s="711"/>
      <c r="K15" s="711"/>
      <c r="L15" s="565"/>
      <c r="M15" s="414"/>
    </row>
    <row r="16" spans="1:12" s="386" customFormat="1" ht="26.25" customHeight="1">
      <c r="A16" s="395"/>
      <c r="B16" s="585" t="s">
        <v>354</v>
      </c>
      <c r="C16" s="391" t="s">
        <v>361</v>
      </c>
      <c r="D16" s="584"/>
      <c r="E16" s="584"/>
      <c r="F16" s="712">
        <v>2589.4</v>
      </c>
      <c r="G16" s="712">
        <v>2702.9</v>
      </c>
      <c r="H16" s="712">
        <v>3288.5</v>
      </c>
      <c r="I16" s="712">
        <v>3372.5</v>
      </c>
      <c r="J16" s="712">
        <v>3417.3</v>
      </c>
      <c r="K16" s="584">
        <f>J16+I16+H16+G16+F16</f>
        <v>15370.599999999999</v>
      </c>
      <c r="L16" s="584"/>
    </row>
    <row r="17" spans="1:12" s="386" customFormat="1" ht="31.5" customHeight="1">
      <c r="A17" s="395"/>
      <c r="B17" s="585" t="s">
        <v>355</v>
      </c>
      <c r="C17" s="391" t="s">
        <v>640</v>
      </c>
      <c r="D17" s="630"/>
      <c r="E17" s="712">
        <v>1908.1</v>
      </c>
      <c r="F17" s="712">
        <v>51.9</v>
      </c>
      <c r="G17" s="712">
        <v>803.7</v>
      </c>
      <c r="H17" s="712">
        <v>788.4</v>
      </c>
      <c r="I17" s="712">
        <v>54.09</v>
      </c>
      <c r="J17" s="712">
        <v>630</v>
      </c>
      <c r="K17" s="713">
        <f>J17+I17+H17+G17+F17</f>
        <v>2328.09</v>
      </c>
      <c r="L17" s="565" t="s">
        <v>36</v>
      </c>
    </row>
    <row r="18" spans="1:12" s="386" customFormat="1" ht="33.75" customHeight="1">
      <c r="A18" s="395"/>
      <c r="B18" s="585" t="s">
        <v>356</v>
      </c>
      <c r="C18" s="391" t="s">
        <v>303</v>
      </c>
      <c r="D18" s="630"/>
      <c r="E18" s="630">
        <v>36</v>
      </c>
      <c r="F18" s="819">
        <v>34</v>
      </c>
      <c r="G18" s="819">
        <v>34.9</v>
      </c>
      <c r="H18" s="819">
        <v>35.5</v>
      </c>
      <c r="I18" s="819">
        <v>37.3</v>
      </c>
      <c r="J18" s="819">
        <v>38</v>
      </c>
      <c r="K18" s="820">
        <v>38</v>
      </c>
      <c r="L18" s="565" t="s">
        <v>36</v>
      </c>
    </row>
    <row r="19" spans="1:12" s="386" customFormat="1" ht="30" customHeight="1">
      <c r="A19" s="395"/>
      <c r="B19" s="585" t="s">
        <v>357</v>
      </c>
      <c r="C19" s="391" t="s">
        <v>361</v>
      </c>
      <c r="D19" s="714"/>
      <c r="E19" s="712">
        <f aca="true" t="shared" si="0" ref="E19:J19">E20+E21</f>
        <v>1460.2</v>
      </c>
      <c r="F19" s="712">
        <f t="shared" si="0"/>
        <v>225.5</v>
      </c>
      <c r="G19" s="712">
        <f t="shared" si="0"/>
        <v>266.7</v>
      </c>
      <c r="H19" s="712">
        <f t="shared" si="0"/>
        <v>280</v>
      </c>
      <c r="I19" s="712">
        <f t="shared" si="0"/>
        <v>306</v>
      </c>
      <c r="J19" s="712">
        <f t="shared" si="0"/>
        <v>396.5</v>
      </c>
      <c r="K19" s="713">
        <f>J19+I19+H19+G19+F19</f>
        <v>1474.7</v>
      </c>
      <c r="L19" s="565" t="s">
        <v>36</v>
      </c>
    </row>
    <row r="20" spans="1:12" s="386" customFormat="1" ht="30" customHeight="1">
      <c r="A20" s="395"/>
      <c r="B20" s="378" t="s">
        <v>514</v>
      </c>
      <c r="C20" s="391" t="s">
        <v>361</v>
      </c>
      <c r="D20" s="584"/>
      <c r="E20" s="712">
        <v>70.7</v>
      </c>
      <c r="F20" s="712">
        <v>14.5</v>
      </c>
      <c r="G20" s="712">
        <v>14.7</v>
      </c>
      <c r="H20" s="712">
        <v>14.5</v>
      </c>
      <c r="I20" s="712">
        <v>14</v>
      </c>
      <c r="J20" s="712">
        <v>13</v>
      </c>
      <c r="K20" s="713">
        <f>J20+I20+H20+G20+F20</f>
        <v>70.7</v>
      </c>
      <c r="L20" s="565" t="s">
        <v>36</v>
      </c>
    </row>
    <row r="21" spans="1:12" s="386" customFormat="1" ht="30" customHeight="1">
      <c r="A21" s="395"/>
      <c r="B21" s="378" t="s">
        <v>515</v>
      </c>
      <c r="C21" s="391" t="s">
        <v>361</v>
      </c>
      <c r="D21" s="584"/>
      <c r="E21" s="712">
        <v>1389.5</v>
      </c>
      <c r="F21" s="712">
        <v>211</v>
      </c>
      <c r="G21" s="712">
        <v>252</v>
      </c>
      <c r="H21" s="712">
        <v>265.5</v>
      </c>
      <c r="I21" s="712">
        <v>292</v>
      </c>
      <c r="J21" s="712">
        <v>383.5</v>
      </c>
      <c r="K21" s="713">
        <f>J21+I21+H21+G21+F21</f>
        <v>1404</v>
      </c>
      <c r="L21" s="565" t="s">
        <v>36</v>
      </c>
    </row>
    <row r="22" spans="1:12" s="386" customFormat="1" ht="30.75" customHeight="1">
      <c r="A22" s="395"/>
      <c r="B22" s="585" t="s">
        <v>358</v>
      </c>
      <c r="C22" s="391" t="s">
        <v>641</v>
      </c>
      <c r="D22" s="605"/>
      <c r="E22" s="712">
        <v>1316</v>
      </c>
      <c r="F22" s="712">
        <v>215.2</v>
      </c>
      <c r="G22" s="712">
        <v>220</v>
      </c>
      <c r="H22" s="712">
        <v>295</v>
      </c>
      <c r="I22" s="712">
        <v>295</v>
      </c>
      <c r="J22" s="712">
        <v>295</v>
      </c>
      <c r="K22" s="713">
        <f>J22+I22+H22+G22+F22</f>
        <v>1320.2</v>
      </c>
      <c r="L22" s="565" t="s">
        <v>36</v>
      </c>
    </row>
    <row r="23" spans="1:12" ht="16.5">
      <c r="A23" s="398"/>
      <c r="B23" s="399"/>
      <c r="C23" s="385"/>
      <c r="D23" s="400"/>
      <c r="E23" s="400"/>
      <c r="F23" s="401"/>
      <c r="G23" s="401"/>
      <c r="H23" s="401"/>
      <c r="I23" s="401"/>
      <c r="J23" s="401"/>
      <c r="K23" s="401"/>
      <c r="L23" s="386"/>
    </row>
    <row r="24" spans="1:12" ht="16.5">
      <c r="A24" s="398"/>
      <c r="B24" s="399"/>
      <c r="C24" s="385"/>
      <c r="D24" s="398"/>
      <c r="E24" s="398"/>
      <c r="F24" s="386"/>
      <c r="G24" s="386"/>
      <c r="H24" s="386"/>
      <c r="I24" s="386"/>
      <c r="J24" s="386"/>
      <c r="K24" s="386"/>
      <c r="L24" s="386"/>
    </row>
    <row r="25" spans="1:12" ht="18.75">
      <c r="A25" s="398"/>
      <c r="B25" s="399"/>
      <c r="C25" s="530"/>
      <c r="D25" s="398"/>
      <c r="E25" s="398"/>
      <c r="F25" s="386"/>
      <c r="G25" s="386"/>
      <c r="H25" s="386"/>
      <c r="I25" s="386"/>
      <c r="J25" s="386"/>
      <c r="K25" s="386"/>
      <c r="L25" s="386"/>
    </row>
    <row r="26" spans="1:12" ht="18.75">
      <c r="A26" s="398"/>
      <c r="B26" s="399"/>
      <c r="C26" s="531"/>
      <c r="D26" s="398"/>
      <c r="E26" s="398"/>
      <c r="F26" s="386"/>
      <c r="G26" s="386"/>
      <c r="H26" s="386"/>
      <c r="I26" s="386"/>
      <c r="J26" s="386"/>
      <c r="K26" s="386"/>
      <c r="L26" s="386"/>
    </row>
    <row r="27" spans="1:12" ht="18.75">
      <c r="A27" s="398"/>
      <c r="B27" s="399"/>
      <c r="C27" s="531"/>
      <c r="D27" s="398"/>
      <c r="E27" s="398"/>
      <c r="F27" s="386"/>
      <c r="G27" s="386"/>
      <c r="H27" s="386"/>
      <c r="I27" s="386"/>
      <c r="J27" s="386"/>
      <c r="K27" s="386"/>
      <c r="L27" s="386"/>
    </row>
    <row r="28" spans="1:12" ht="16.5">
      <c r="A28" s="398"/>
      <c r="B28" s="399"/>
      <c r="C28" s="532"/>
      <c r="D28" s="398"/>
      <c r="E28" s="398"/>
      <c r="F28" s="386"/>
      <c r="G28" s="386"/>
      <c r="H28" s="386"/>
      <c r="I28" s="386"/>
      <c r="J28" s="386"/>
      <c r="K28" s="386"/>
      <c r="L28" s="386"/>
    </row>
    <row r="29" spans="1:12" ht="16.5">
      <c r="A29" s="398"/>
      <c r="B29" s="399"/>
      <c r="C29" s="532"/>
      <c r="D29" s="398"/>
      <c r="E29" s="398"/>
      <c r="F29" s="386"/>
      <c r="G29" s="386"/>
      <c r="H29" s="386"/>
      <c r="I29" s="386"/>
      <c r="J29" s="386"/>
      <c r="K29" s="386"/>
      <c r="L29" s="386"/>
    </row>
    <row r="30" spans="1:12" ht="16.5">
      <c r="A30" s="398"/>
      <c r="B30" s="399"/>
      <c r="C30" s="532"/>
      <c r="D30" s="398"/>
      <c r="E30" s="398"/>
      <c r="F30" s="386"/>
      <c r="G30" s="386"/>
      <c r="H30" s="386"/>
      <c r="I30" s="386"/>
      <c r="J30" s="386"/>
      <c r="K30" s="386"/>
      <c r="L30" s="386"/>
    </row>
    <row r="31" spans="1:12" ht="16.5">
      <c r="A31" s="398"/>
      <c r="B31" s="399"/>
      <c r="C31" s="470"/>
      <c r="D31" s="398"/>
      <c r="E31" s="398"/>
      <c r="F31" s="386"/>
      <c r="G31" s="386"/>
      <c r="H31" s="386"/>
      <c r="I31" s="386"/>
      <c r="J31" s="386"/>
      <c r="K31" s="386"/>
      <c r="L31" s="386"/>
    </row>
    <row r="32" spans="1:12" ht="16.5">
      <c r="A32" s="398"/>
      <c r="B32" s="399"/>
      <c r="C32" s="385"/>
      <c r="D32" s="398"/>
      <c r="E32" s="398"/>
      <c r="F32" s="386"/>
      <c r="G32" s="386"/>
      <c r="H32" s="386"/>
      <c r="I32" s="386"/>
      <c r="J32" s="386"/>
      <c r="K32" s="386"/>
      <c r="L32" s="386"/>
    </row>
    <row r="33" spans="1:12" ht="16.5">
      <c r="A33" s="398"/>
      <c r="B33" s="399"/>
      <c r="C33" s="385"/>
      <c r="D33" s="398"/>
      <c r="E33" s="398"/>
      <c r="F33" s="386"/>
      <c r="G33" s="386"/>
      <c r="H33" s="386"/>
      <c r="I33" s="386"/>
      <c r="J33" s="386"/>
      <c r="K33" s="386"/>
      <c r="L33" s="386"/>
    </row>
    <row r="34" spans="1:12" ht="16.5">
      <c r="A34" s="398"/>
      <c r="B34" s="399"/>
      <c r="C34" s="385"/>
      <c r="D34" s="398"/>
      <c r="E34" s="398"/>
      <c r="F34" s="386"/>
      <c r="G34" s="386"/>
      <c r="H34" s="386"/>
      <c r="I34" s="386"/>
      <c r="J34" s="386"/>
      <c r="K34" s="386"/>
      <c r="L34" s="386"/>
    </row>
    <row r="35" spans="1:12" ht="16.5">
      <c r="A35" s="398"/>
      <c r="B35" s="399"/>
      <c r="C35" s="385"/>
      <c r="D35" s="398"/>
      <c r="E35" s="398"/>
      <c r="F35" s="386"/>
      <c r="G35" s="386"/>
      <c r="H35" s="386"/>
      <c r="I35" s="386"/>
      <c r="J35" s="386"/>
      <c r="K35" s="386"/>
      <c r="L35" s="386"/>
    </row>
    <row r="36" spans="1:12" ht="16.5">
      <c r="A36" s="398"/>
      <c r="B36" s="399"/>
      <c r="C36" s="385"/>
      <c r="D36" s="398"/>
      <c r="E36" s="398"/>
      <c r="F36" s="386"/>
      <c r="G36" s="386"/>
      <c r="H36" s="386"/>
      <c r="I36" s="386"/>
      <c r="J36" s="386"/>
      <c r="K36" s="386"/>
      <c r="L36" s="386"/>
    </row>
    <row r="37" spans="1:12" ht="16.5">
      <c r="A37" s="398"/>
      <c r="B37" s="399"/>
      <c r="C37" s="385"/>
      <c r="D37" s="398"/>
      <c r="E37" s="398"/>
      <c r="F37" s="386"/>
      <c r="G37" s="386"/>
      <c r="H37" s="386"/>
      <c r="I37" s="386"/>
      <c r="J37" s="386"/>
      <c r="K37" s="386"/>
      <c r="L37" s="386"/>
    </row>
    <row r="38" spans="1:12" ht="16.5">
      <c r="A38" s="398"/>
      <c r="B38" s="399"/>
      <c r="C38" s="385"/>
      <c r="D38" s="398"/>
      <c r="E38" s="398"/>
      <c r="F38" s="386"/>
      <c r="G38" s="386"/>
      <c r="H38" s="386"/>
      <c r="I38" s="386"/>
      <c r="J38" s="386"/>
      <c r="K38" s="386"/>
      <c r="L38" s="386"/>
    </row>
    <row r="39" spans="1:12" ht="16.5">
      <c r="A39" s="398"/>
      <c r="B39" s="399"/>
      <c r="C39" s="385"/>
      <c r="D39" s="398"/>
      <c r="E39" s="398"/>
      <c r="F39" s="386"/>
      <c r="G39" s="386"/>
      <c r="H39" s="386"/>
      <c r="I39" s="386"/>
      <c r="J39" s="386"/>
      <c r="K39" s="386"/>
      <c r="L39" s="386"/>
    </row>
    <row r="40" spans="1:12" ht="16.5">
      <c r="A40" s="398"/>
      <c r="B40" s="399"/>
      <c r="C40" s="385"/>
      <c r="D40" s="398"/>
      <c r="E40" s="398"/>
      <c r="F40" s="386"/>
      <c r="G40" s="386"/>
      <c r="H40" s="386"/>
      <c r="I40" s="386"/>
      <c r="J40" s="386"/>
      <c r="K40" s="386"/>
      <c r="L40" s="386"/>
    </row>
    <row r="41" spans="1:12" ht="16.5">
      <c r="A41" s="398"/>
      <c r="B41" s="399"/>
      <c r="C41" s="385"/>
      <c r="D41" s="398"/>
      <c r="E41" s="398"/>
      <c r="F41" s="386"/>
      <c r="G41" s="386"/>
      <c r="H41" s="386"/>
      <c r="I41" s="386"/>
      <c r="J41" s="386"/>
      <c r="K41" s="386"/>
      <c r="L41" s="386"/>
    </row>
    <row r="42" spans="1:12" ht="16.5">
      <c r="A42" s="398"/>
      <c r="B42" s="399"/>
      <c r="C42" s="385"/>
      <c r="D42" s="398"/>
      <c r="E42" s="398"/>
      <c r="F42" s="386"/>
      <c r="G42" s="386"/>
      <c r="H42" s="386"/>
      <c r="I42" s="386"/>
      <c r="J42" s="386"/>
      <c r="K42" s="386"/>
      <c r="L42" s="386"/>
    </row>
    <row r="43" spans="1:12" ht="16.5">
      <c r="A43" s="398"/>
      <c r="B43" s="399"/>
      <c r="C43" s="385"/>
      <c r="D43" s="398"/>
      <c r="E43" s="398"/>
      <c r="F43" s="386"/>
      <c r="G43" s="386"/>
      <c r="H43" s="386"/>
      <c r="I43" s="386"/>
      <c r="J43" s="386"/>
      <c r="K43" s="386"/>
      <c r="L43" s="386"/>
    </row>
    <row r="44" spans="1:12" ht="16.5">
      <c r="A44" s="398"/>
      <c r="B44" s="399"/>
      <c r="C44" s="385"/>
      <c r="D44" s="398"/>
      <c r="E44" s="398"/>
      <c r="F44" s="386"/>
      <c r="G44" s="386"/>
      <c r="H44" s="386"/>
      <c r="I44" s="386"/>
      <c r="J44" s="386"/>
      <c r="K44" s="386"/>
      <c r="L44" s="386"/>
    </row>
    <row r="45" spans="1:12" ht="16.5">
      <c r="A45" s="398"/>
      <c r="B45" s="399"/>
      <c r="C45" s="385"/>
      <c r="D45" s="398"/>
      <c r="E45" s="398"/>
      <c r="F45" s="386"/>
      <c r="G45" s="386"/>
      <c r="H45" s="386"/>
      <c r="I45" s="386"/>
      <c r="J45" s="386"/>
      <c r="K45" s="386"/>
      <c r="L45" s="386"/>
    </row>
    <row r="46" spans="1:12" ht="16.5">
      <c r="A46" s="398"/>
      <c r="B46" s="399"/>
      <c r="C46" s="385"/>
      <c r="D46" s="398"/>
      <c r="E46" s="398"/>
      <c r="F46" s="386"/>
      <c r="G46" s="386"/>
      <c r="H46" s="386"/>
      <c r="I46" s="386"/>
      <c r="J46" s="386"/>
      <c r="K46" s="386"/>
      <c r="L46" s="386"/>
    </row>
    <row r="47" spans="1:12" ht="16.5">
      <c r="A47" s="398"/>
      <c r="B47" s="399"/>
      <c r="C47" s="385"/>
      <c r="D47" s="398"/>
      <c r="E47" s="398"/>
      <c r="F47" s="386"/>
      <c r="G47" s="386"/>
      <c r="H47" s="386"/>
      <c r="I47" s="386"/>
      <c r="J47" s="386"/>
      <c r="K47" s="386"/>
      <c r="L47" s="386"/>
    </row>
    <row r="48" spans="1:12" ht="16.5">
      <c r="A48" s="398"/>
      <c r="B48" s="399"/>
      <c r="C48" s="385"/>
      <c r="D48" s="398"/>
      <c r="E48" s="398"/>
      <c r="F48" s="386"/>
      <c r="G48" s="386"/>
      <c r="H48" s="386"/>
      <c r="I48" s="386"/>
      <c r="J48" s="386"/>
      <c r="K48" s="386"/>
      <c r="L48" s="386"/>
    </row>
    <row r="49" spans="1:12" ht="16.5">
      <c r="A49" s="398"/>
      <c r="B49" s="399"/>
      <c r="C49" s="385"/>
      <c r="D49" s="398"/>
      <c r="E49" s="398"/>
      <c r="F49" s="386"/>
      <c r="G49" s="386"/>
      <c r="H49" s="386"/>
      <c r="I49" s="386"/>
      <c r="J49" s="386"/>
      <c r="K49" s="386"/>
      <c r="L49" s="386"/>
    </row>
    <row r="50" spans="1:12" ht="16.5">
      <c r="A50" s="398"/>
      <c r="B50" s="399"/>
      <c r="C50" s="385"/>
      <c r="D50" s="398"/>
      <c r="E50" s="398"/>
      <c r="F50" s="386"/>
      <c r="G50" s="386"/>
      <c r="H50" s="386"/>
      <c r="I50" s="386"/>
      <c r="J50" s="386"/>
      <c r="K50" s="386"/>
      <c r="L50" s="386"/>
    </row>
    <row r="51" spans="1:12" ht="16.5">
      <c r="A51" s="398"/>
      <c r="B51" s="399"/>
      <c r="C51" s="385"/>
      <c r="D51" s="398"/>
      <c r="E51" s="398"/>
      <c r="F51" s="386"/>
      <c r="G51" s="386"/>
      <c r="H51" s="386"/>
      <c r="I51" s="386"/>
      <c r="J51" s="386"/>
      <c r="K51" s="386"/>
      <c r="L51" s="386"/>
    </row>
    <row r="52" spans="1:12" ht="16.5">
      <c r="A52" s="398"/>
      <c r="B52" s="399"/>
      <c r="C52" s="385"/>
      <c r="D52" s="398"/>
      <c r="E52" s="398"/>
      <c r="F52" s="386"/>
      <c r="G52" s="386"/>
      <c r="H52" s="386"/>
      <c r="I52" s="386"/>
      <c r="J52" s="386"/>
      <c r="K52" s="386"/>
      <c r="L52" s="386"/>
    </row>
    <row r="53" spans="1:12" ht="16.5">
      <c r="A53" s="398"/>
      <c r="B53" s="399"/>
      <c r="C53" s="385"/>
      <c r="D53" s="398"/>
      <c r="E53" s="398"/>
      <c r="F53" s="386"/>
      <c r="G53" s="386"/>
      <c r="H53" s="386"/>
      <c r="I53" s="386"/>
      <c r="J53" s="386"/>
      <c r="K53" s="386"/>
      <c r="L53" s="386"/>
    </row>
    <row r="54" spans="1:12" ht="16.5">
      <c r="A54" s="398"/>
      <c r="B54" s="399"/>
      <c r="C54" s="385"/>
      <c r="D54" s="398"/>
      <c r="E54" s="398"/>
      <c r="F54" s="386"/>
      <c r="G54" s="386"/>
      <c r="H54" s="386"/>
      <c r="I54" s="386"/>
      <c r="J54" s="386"/>
      <c r="K54" s="386"/>
      <c r="L54" s="386"/>
    </row>
    <row r="55" spans="1:12" ht="16.5">
      <c r="A55" s="398"/>
      <c r="B55" s="399"/>
      <c r="C55" s="385"/>
      <c r="D55" s="398"/>
      <c r="E55" s="398"/>
      <c r="F55" s="386"/>
      <c r="G55" s="386"/>
      <c r="H55" s="386"/>
      <c r="I55" s="386"/>
      <c r="J55" s="386"/>
      <c r="K55" s="386"/>
      <c r="L55" s="386"/>
    </row>
    <row r="56" spans="1:12" ht="16.5">
      <c r="A56" s="398"/>
      <c r="B56" s="399"/>
      <c r="C56" s="385"/>
      <c r="D56" s="398"/>
      <c r="E56" s="398"/>
      <c r="F56" s="386"/>
      <c r="G56" s="386"/>
      <c r="H56" s="386"/>
      <c r="I56" s="386"/>
      <c r="J56" s="386"/>
      <c r="K56" s="386"/>
      <c r="L56" s="386"/>
    </row>
    <row r="57" spans="1:12" ht="16.5">
      <c r="A57" s="398"/>
      <c r="B57" s="399"/>
      <c r="C57" s="385"/>
      <c r="D57" s="398"/>
      <c r="E57" s="398"/>
      <c r="F57" s="386"/>
      <c r="G57" s="386"/>
      <c r="H57" s="386"/>
      <c r="I57" s="386"/>
      <c r="J57" s="386"/>
      <c r="K57" s="386"/>
      <c r="L57" s="386"/>
    </row>
    <row r="58" spans="1:12" ht="16.5">
      <c r="A58" s="398"/>
      <c r="B58" s="399"/>
      <c r="C58" s="385"/>
      <c r="D58" s="398"/>
      <c r="E58" s="398"/>
      <c r="F58" s="386"/>
      <c r="G58" s="386"/>
      <c r="H58" s="386"/>
      <c r="I58" s="386"/>
      <c r="J58" s="386"/>
      <c r="K58" s="386"/>
      <c r="L58" s="386"/>
    </row>
    <row r="59" spans="1:12" ht="16.5">
      <c r="A59" s="398"/>
      <c r="B59" s="399"/>
      <c r="C59" s="385"/>
      <c r="D59" s="398"/>
      <c r="E59" s="398"/>
      <c r="F59" s="386"/>
      <c r="G59" s="386"/>
      <c r="H59" s="386"/>
      <c r="I59" s="386"/>
      <c r="J59" s="386"/>
      <c r="K59" s="386"/>
      <c r="L59" s="386"/>
    </row>
    <row r="60" spans="1:12" ht="16.5">
      <c r="A60" s="398"/>
      <c r="B60" s="399"/>
      <c r="C60" s="385"/>
      <c r="D60" s="398"/>
      <c r="E60" s="398"/>
      <c r="F60" s="386"/>
      <c r="G60" s="386"/>
      <c r="H60" s="386"/>
      <c r="I60" s="386"/>
      <c r="J60" s="386"/>
      <c r="K60" s="386"/>
      <c r="L60" s="386"/>
    </row>
    <row r="61" spans="1:12" ht="16.5">
      <c r="A61" s="398"/>
      <c r="B61" s="399"/>
      <c r="C61" s="385"/>
      <c r="D61" s="398"/>
      <c r="E61" s="398"/>
      <c r="F61" s="386"/>
      <c r="G61" s="386"/>
      <c r="H61" s="386"/>
      <c r="I61" s="386"/>
      <c r="J61" s="386"/>
      <c r="K61" s="386"/>
      <c r="L61" s="386"/>
    </row>
    <row r="62" spans="1:12" ht="16.5">
      <c r="A62" s="398"/>
      <c r="B62" s="399"/>
      <c r="C62" s="385"/>
      <c r="D62" s="398"/>
      <c r="E62" s="398"/>
      <c r="F62" s="386"/>
      <c r="G62" s="386"/>
      <c r="H62" s="386"/>
      <c r="I62" s="386"/>
      <c r="J62" s="386"/>
      <c r="K62" s="386"/>
      <c r="L62" s="386"/>
    </row>
    <row r="63" spans="1:12" ht="16.5">
      <c r="A63" s="398"/>
      <c r="B63" s="399"/>
      <c r="C63" s="385"/>
      <c r="D63" s="398"/>
      <c r="E63" s="398"/>
      <c r="F63" s="386"/>
      <c r="G63" s="386"/>
      <c r="H63" s="386"/>
      <c r="I63" s="386"/>
      <c r="J63" s="386"/>
      <c r="K63" s="386"/>
      <c r="L63" s="386"/>
    </row>
    <row r="64" spans="1:12" ht="16.5">
      <c r="A64" s="398"/>
      <c r="B64" s="399"/>
      <c r="C64" s="385"/>
      <c r="D64" s="398"/>
      <c r="E64" s="398"/>
      <c r="F64" s="386"/>
      <c r="G64" s="386"/>
      <c r="H64" s="386"/>
      <c r="I64" s="386"/>
      <c r="J64" s="386"/>
      <c r="K64" s="386"/>
      <c r="L64" s="386"/>
    </row>
    <row r="65" spans="1:12" ht="16.5">
      <c r="A65" s="398"/>
      <c r="B65" s="399"/>
      <c r="C65" s="385"/>
      <c r="D65" s="398"/>
      <c r="E65" s="398"/>
      <c r="F65" s="386"/>
      <c r="G65" s="386"/>
      <c r="H65" s="386"/>
      <c r="I65" s="386"/>
      <c r="J65" s="386"/>
      <c r="K65" s="386"/>
      <c r="L65" s="386"/>
    </row>
    <row r="66" spans="1:12" ht="16.5">
      <c r="A66" s="398"/>
      <c r="B66" s="399"/>
      <c r="C66" s="385"/>
      <c r="D66" s="398"/>
      <c r="E66" s="398"/>
      <c r="F66" s="386"/>
      <c r="G66" s="386"/>
      <c r="H66" s="386"/>
      <c r="I66" s="386"/>
      <c r="J66" s="386"/>
      <c r="K66" s="386"/>
      <c r="L66" s="386"/>
    </row>
    <row r="67" spans="1:12" ht="16.5">
      <c r="A67" s="398"/>
      <c r="B67" s="399"/>
      <c r="C67" s="385"/>
      <c r="D67" s="398"/>
      <c r="E67" s="398"/>
      <c r="F67" s="386"/>
      <c r="G67" s="386"/>
      <c r="H67" s="386"/>
      <c r="I67" s="386"/>
      <c r="J67" s="386"/>
      <c r="K67" s="386"/>
      <c r="L67" s="386"/>
    </row>
    <row r="68" spans="1:12" ht="16.5">
      <c r="A68" s="398"/>
      <c r="B68" s="399"/>
      <c r="C68" s="385"/>
      <c r="D68" s="398"/>
      <c r="E68" s="398"/>
      <c r="F68" s="386"/>
      <c r="G68" s="386"/>
      <c r="H68" s="386"/>
      <c r="I68" s="386"/>
      <c r="J68" s="386"/>
      <c r="K68" s="386"/>
      <c r="L68" s="386"/>
    </row>
    <row r="69" spans="1:12" ht="16.5">
      <c r="A69" s="398"/>
      <c r="B69" s="399"/>
      <c r="C69" s="385"/>
      <c r="D69" s="398"/>
      <c r="E69" s="398"/>
      <c r="F69" s="386"/>
      <c r="G69" s="386"/>
      <c r="H69" s="386"/>
      <c r="I69" s="386"/>
      <c r="J69" s="386"/>
      <c r="K69" s="386"/>
      <c r="L69" s="386"/>
    </row>
    <row r="70" spans="1:12" ht="16.5">
      <c r="A70" s="398"/>
      <c r="B70" s="399"/>
      <c r="C70" s="385"/>
      <c r="D70" s="398"/>
      <c r="E70" s="398"/>
      <c r="F70" s="386"/>
      <c r="G70" s="386"/>
      <c r="H70" s="386"/>
      <c r="I70" s="386"/>
      <c r="J70" s="386"/>
      <c r="K70" s="386"/>
      <c r="L70" s="386"/>
    </row>
    <row r="71" spans="1:12" ht="16.5">
      <c r="A71" s="398"/>
      <c r="B71" s="399"/>
      <c r="C71" s="385"/>
      <c r="D71" s="398"/>
      <c r="E71" s="398"/>
      <c r="F71" s="386"/>
      <c r="G71" s="386"/>
      <c r="H71" s="386"/>
      <c r="I71" s="386"/>
      <c r="J71" s="386"/>
      <c r="K71" s="386"/>
      <c r="L71" s="386"/>
    </row>
    <row r="72" spans="1:12" ht="16.5">
      <c r="A72" s="398"/>
      <c r="B72" s="399"/>
      <c r="C72" s="385"/>
      <c r="D72" s="398"/>
      <c r="E72" s="398"/>
      <c r="F72" s="386"/>
      <c r="G72" s="386"/>
      <c r="H72" s="386"/>
      <c r="I72" s="386"/>
      <c r="J72" s="386"/>
      <c r="K72" s="386"/>
      <c r="L72" s="386"/>
    </row>
    <row r="73" spans="1:12" ht="16.5">
      <c r="A73" s="398"/>
      <c r="B73" s="399"/>
      <c r="C73" s="385"/>
      <c r="D73" s="398"/>
      <c r="E73" s="398"/>
      <c r="F73" s="386"/>
      <c r="G73" s="386"/>
      <c r="H73" s="386"/>
      <c r="I73" s="386"/>
      <c r="J73" s="386"/>
      <c r="K73" s="386"/>
      <c r="L73" s="386"/>
    </row>
    <row r="74" spans="1:12" ht="16.5">
      <c r="A74" s="398"/>
      <c r="B74" s="399"/>
      <c r="C74" s="385"/>
      <c r="D74" s="398"/>
      <c r="E74" s="398"/>
      <c r="F74" s="386"/>
      <c r="G74" s="386"/>
      <c r="H74" s="386"/>
      <c r="I74" s="386"/>
      <c r="J74" s="386"/>
      <c r="K74" s="386"/>
      <c r="L74" s="386"/>
    </row>
    <row r="75" spans="1:12" ht="16.5">
      <c r="A75" s="398"/>
      <c r="B75" s="399"/>
      <c r="C75" s="385"/>
      <c r="D75" s="398"/>
      <c r="E75" s="398"/>
      <c r="F75" s="386"/>
      <c r="G75" s="386"/>
      <c r="H75" s="386"/>
      <c r="I75" s="386"/>
      <c r="J75" s="386"/>
      <c r="K75" s="386"/>
      <c r="L75" s="386"/>
    </row>
    <row r="76" spans="1:12" ht="16.5">
      <c r="A76" s="398"/>
      <c r="B76" s="399"/>
      <c r="C76" s="385"/>
      <c r="D76" s="398"/>
      <c r="E76" s="398"/>
      <c r="F76" s="386"/>
      <c r="G76" s="386"/>
      <c r="H76" s="386"/>
      <c r="I76" s="386"/>
      <c r="J76" s="386"/>
      <c r="K76" s="386"/>
      <c r="L76" s="386"/>
    </row>
    <row r="77" spans="1:12" ht="16.5">
      <c r="A77" s="398"/>
      <c r="B77" s="399"/>
      <c r="C77" s="385"/>
      <c r="D77" s="398"/>
      <c r="E77" s="398"/>
      <c r="F77" s="386"/>
      <c r="G77" s="386"/>
      <c r="H77" s="386"/>
      <c r="I77" s="386"/>
      <c r="J77" s="386"/>
      <c r="K77" s="386"/>
      <c r="L77" s="386"/>
    </row>
    <row r="78" spans="1:12" ht="16.5">
      <c r="A78" s="398"/>
      <c r="B78" s="399"/>
      <c r="C78" s="385"/>
      <c r="D78" s="398"/>
      <c r="E78" s="398"/>
      <c r="F78" s="386"/>
      <c r="G78" s="386"/>
      <c r="H78" s="386"/>
      <c r="I78" s="386"/>
      <c r="J78" s="386"/>
      <c r="K78" s="386"/>
      <c r="L78" s="386"/>
    </row>
    <row r="79" spans="1:12" ht="16.5">
      <c r="A79" s="398"/>
      <c r="B79" s="399"/>
      <c r="C79" s="385"/>
      <c r="D79" s="398"/>
      <c r="E79" s="398"/>
      <c r="F79" s="386"/>
      <c r="G79" s="386"/>
      <c r="H79" s="386"/>
      <c r="I79" s="386"/>
      <c r="J79" s="386"/>
      <c r="K79" s="386"/>
      <c r="L79" s="386"/>
    </row>
    <row r="80" spans="1:12" ht="16.5">
      <c r="A80" s="398"/>
      <c r="B80" s="399"/>
      <c r="C80" s="385"/>
      <c r="D80" s="398"/>
      <c r="E80" s="398"/>
      <c r="F80" s="386"/>
      <c r="G80" s="386"/>
      <c r="H80" s="386"/>
      <c r="I80" s="386"/>
      <c r="J80" s="386"/>
      <c r="K80" s="386"/>
      <c r="L80" s="386"/>
    </row>
    <row r="81" spans="1:12" ht="16.5">
      <c r="A81" s="398"/>
      <c r="B81" s="399"/>
      <c r="C81" s="385"/>
      <c r="D81" s="398"/>
      <c r="E81" s="398"/>
      <c r="F81" s="386"/>
      <c r="G81" s="386"/>
      <c r="H81" s="386"/>
      <c r="I81" s="386"/>
      <c r="J81" s="386"/>
      <c r="K81" s="386"/>
      <c r="L81" s="386"/>
    </row>
    <row r="82" spans="1:12" ht="16.5">
      <c r="A82" s="398"/>
      <c r="B82" s="399"/>
      <c r="C82" s="385"/>
      <c r="D82" s="398"/>
      <c r="E82" s="398"/>
      <c r="F82" s="386"/>
      <c r="G82" s="386"/>
      <c r="H82" s="386"/>
      <c r="I82" s="386"/>
      <c r="J82" s="386"/>
      <c r="K82" s="386"/>
      <c r="L82" s="386"/>
    </row>
    <row r="83" spans="1:12" ht="16.5">
      <c r="A83" s="398"/>
      <c r="B83" s="399"/>
      <c r="C83" s="385"/>
      <c r="D83" s="398"/>
      <c r="E83" s="398"/>
      <c r="F83" s="386"/>
      <c r="G83" s="386"/>
      <c r="H83" s="386"/>
      <c r="I83" s="386"/>
      <c r="J83" s="386"/>
      <c r="K83" s="386"/>
      <c r="L83" s="386"/>
    </row>
    <row r="84" spans="1:12" ht="16.5">
      <c r="A84" s="398"/>
      <c r="B84" s="399"/>
      <c r="C84" s="385"/>
      <c r="D84" s="398"/>
      <c r="E84" s="398"/>
      <c r="F84" s="386"/>
      <c r="G84" s="386"/>
      <c r="H84" s="386"/>
      <c r="I84" s="386"/>
      <c r="J84" s="386"/>
      <c r="K84" s="386"/>
      <c r="L84" s="386"/>
    </row>
    <row r="85" spans="1:12" ht="16.5">
      <c r="A85" s="398"/>
      <c r="B85" s="399"/>
      <c r="C85" s="385"/>
      <c r="D85" s="398"/>
      <c r="E85" s="398"/>
      <c r="F85" s="386"/>
      <c r="G85" s="386"/>
      <c r="H85" s="386"/>
      <c r="I85" s="386"/>
      <c r="J85" s="386"/>
      <c r="K85" s="386"/>
      <c r="L85" s="386"/>
    </row>
    <row r="86" spans="1:12" ht="16.5">
      <c r="A86" s="398"/>
      <c r="B86" s="399"/>
      <c r="C86" s="385"/>
      <c r="D86" s="398"/>
      <c r="E86" s="398"/>
      <c r="F86" s="386"/>
      <c r="G86" s="386"/>
      <c r="H86" s="386"/>
      <c r="I86" s="386"/>
      <c r="J86" s="386"/>
      <c r="K86" s="386"/>
      <c r="L86" s="386"/>
    </row>
    <row r="87" spans="1:12" ht="16.5">
      <c r="A87" s="398"/>
      <c r="B87" s="399"/>
      <c r="C87" s="385"/>
      <c r="D87" s="398"/>
      <c r="E87" s="398"/>
      <c r="F87" s="386"/>
      <c r="G87" s="386"/>
      <c r="H87" s="386"/>
      <c r="I87" s="386"/>
      <c r="J87" s="386"/>
      <c r="K87" s="386"/>
      <c r="L87" s="386"/>
    </row>
    <row r="88" spans="1:12" ht="16.5">
      <c r="A88" s="398"/>
      <c r="B88" s="399"/>
      <c r="C88" s="385"/>
      <c r="D88" s="398"/>
      <c r="E88" s="398"/>
      <c r="F88" s="386"/>
      <c r="G88" s="386"/>
      <c r="H88" s="386"/>
      <c r="I88" s="386"/>
      <c r="J88" s="386"/>
      <c r="K88" s="386"/>
      <c r="L88" s="386"/>
    </row>
    <row r="89" spans="1:12" ht="16.5">
      <c r="A89" s="398"/>
      <c r="B89" s="399"/>
      <c r="C89" s="385"/>
      <c r="D89" s="398"/>
      <c r="E89" s="398"/>
      <c r="F89" s="386"/>
      <c r="G89" s="386"/>
      <c r="H89" s="386"/>
      <c r="I89" s="386"/>
      <c r="J89" s="386"/>
      <c r="K89" s="386"/>
      <c r="L89" s="386"/>
    </row>
    <row r="90" spans="1:12" ht="16.5">
      <c r="A90" s="398"/>
      <c r="B90" s="399"/>
      <c r="C90" s="385"/>
      <c r="D90" s="398"/>
      <c r="E90" s="398"/>
      <c r="F90" s="386"/>
      <c r="G90" s="386"/>
      <c r="H90" s="386"/>
      <c r="I90" s="386"/>
      <c r="J90" s="386"/>
      <c r="K90" s="386"/>
      <c r="L90" s="386"/>
    </row>
    <row r="91" spans="1:12" ht="16.5">
      <c r="A91" s="398"/>
      <c r="B91" s="399"/>
      <c r="C91" s="385"/>
      <c r="D91" s="398"/>
      <c r="E91" s="398"/>
      <c r="F91" s="386"/>
      <c r="G91" s="386"/>
      <c r="H91" s="386"/>
      <c r="I91" s="386"/>
      <c r="J91" s="386"/>
      <c r="K91" s="386"/>
      <c r="L91" s="386"/>
    </row>
    <row r="92" spans="1:12" ht="16.5">
      <c r="A92" s="398"/>
      <c r="B92" s="399"/>
      <c r="C92" s="385"/>
      <c r="D92" s="398"/>
      <c r="E92" s="398"/>
      <c r="F92" s="386"/>
      <c r="G92" s="386"/>
      <c r="H92" s="386"/>
      <c r="I92" s="386"/>
      <c r="J92" s="386"/>
      <c r="K92" s="386"/>
      <c r="L92" s="386"/>
    </row>
    <row r="93" spans="1:12" ht="16.5">
      <c r="A93" s="398"/>
      <c r="B93" s="399"/>
      <c r="C93" s="385"/>
      <c r="D93" s="398"/>
      <c r="E93" s="398"/>
      <c r="F93" s="386"/>
      <c r="G93" s="386"/>
      <c r="H93" s="386"/>
      <c r="I93" s="386"/>
      <c r="J93" s="386"/>
      <c r="K93" s="386"/>
      <c r="L93" s="386"/>
    </row>
    <row r="94" spans="1:12" ht="16.5">
      <c r="A94" s="398"/>
      <c r="B94" s="399"/>
      <c r="C94" s="385"/>
      <c r="D94" s="398"/>
      <c r="E94" s="398"/>
      <c r="F94" s="386"/>
      <c r="G94" s="386"/>
      <c r="H94" s="386"/>
      <c r="I94" s="386"/>
      <c r="J94" s="386"/>
      <c r="K94" s="386"/>
      <c r="L94" s="386"/>
    </row>
    <row r="95" spans="1:12" ht="16.5">
      <c r="A95" s="398"/>
      <c r="B95" s="399"/>
      <c r="C95" s="385"/>
      <c r="D95" s="398"/>
      <c r="E95" s="398"/>
      <c r="F95" s="386"/>
      <c r="G95" s="386"/>
      <c r="H95" s="386"/>
      <c r="I95" s="386"/>
      <c r="J95" s="386"/>
      <c r="K95" s="386"/>
      <c r="L95" s="386"/>
    </row>
    <row r="96" spans="1:12" ht="16.5">
      <c r="A96" s="398"/>
      <c r="B96" s="399"/>
      <c r="C96" s="385"/>
      <c r="D96" s="398"/>
      <c r="E96" s="398"/>
      <c r="F96" s="386"/>
      <c r="G96" s="386"/>
      <c r="H96" s="386"/>
      <c r="I96" s="386"/>
      <c r="J96" s="386"/>
      <c r="K96" s="386"/>
      <c r="L96" s="386"/>
    </row>
    <row r="97" spans="1:12" ht="16.5">
      <c r="A97" s="398"/>
      <c r="B97" s="399"/>
      <c r="C97" s="385"/>
      <c r="D97" s="398"/>
      <c r="E97" s="398"/>
      <c r="F97" s="386"/>
      <c r="G97" s="386"/>
      <c r="H97" s="386"/>
      <c r="I97" s="386"/>
      <c r="J97" s="386"/>
      <c r="K97" s="386"/>
      <c r="L97" s="386"/>
    </row>
    <row r="98" spans="1:12" ht="16.5">
      <c r="A98" s="398"/>
      <c r="B98" s="399"/>
      <c r="C98" s="385"/>
      <c r="D98" s="398"/>
      <c r="E98" s="398"/>
      <c r="F98" s="386"/>
      <c r="G98" s="386"/>
      <c r="H98" s="386"/>
      <c r="I98" s="386"/>
      <c r="J98" s="386"/>
      <c r="K98" s="386"/>
      <c r="L98" s="386"/>
    </row>
    <row r="99" spans="1:12" ht="16.5">
      <c r="A99" s="398"/>
      <c r="B99" s="399"/>
      <c r="C99" s="385"/>
      <c r="D99" s="398"/>
      <c r="E99" s="398"/>
      <c r="F99" s="386"/>
      <c r="G99" s="386"/>
      <c r="H99" s="386"/>
      <c r="I99" s="386"/>
      <c r="J99" s="386"/>
      <c r="K99" s="386"/>
      <c r="L99" s="386"/>
    </row>
    <row r="100" spans="1:12" ht="16.5">
      <c r="A100" s="398"/>
      <c r="B100" s="399"/>
      <c r="C100" s="385"/>
      <c r="D100" s="398"/>
      <c r="E100" s="398"/>
      <c r="F100" s="386"/>
      <c r="G100" s="386"/>
      <c r="H100" s="386"/>
      <c r="I100" s="386"/>
      <c r="J100" s="386"/>
      <c r="K100" s="386"/>
      <c r="L100" s="386"/>
    </row>
    <row r="101" spans="1:12" ht="16.5">
      <c r="A101" s="398"/>
      <c r="B101" s="399"/>
      <c r="C101" s="385"/>
      <c r="D101" s="398"/>
      <c r="E101" s="398"/>
      <c r="F101" s="386"/>
      <c r="G101" s="386"/>
      <c r="H101" s="386"/>
      <c r="I101" s="386"/>
      <c r="J101" s="386"/>
      <c r="K101" s="386"/>
      <c r="L101" s="386"/>
    </row>
    <row r="102" spans="1:12" ht="16.5">
      <c r="A102" s="398"/>
      <c r="B102" s="399"/>
      <c r="C102" s="385"/>
      <c r="D102" s="398"/>
      <c r="E102" s="398"/>
      <c r="F102" s="386"/>
      <c r="G102" s="386"/>
      <c r="H102" s="386"/>
      <c r="I102" s="386"/>
      <c r="J102" s="386"/>
      <c r="K102" s="386"/>
      <c r="L102" s="386"/>
    </row>
    <row r="103" spans="1:12" ht="16.5">
      <c r="A103" s="398"/>
      <c r="B103" s="399"/>
      <c r="C103" s="385"/>
      <c r="D103" s="398"/>
      <c r="E103" s="398"/>
      <c r="F103" s="386"/>
      <c r="G103" s="386"/>
      <c r="H103" s="386"/>
      <c r="I103" s="386"/>
      <c r="J103" s="386"/>
      <c r="K103" s="386"/>
      <c r="L103" s="386"/>
    </row>
    <row r="104" spans="1:12" ht="16.5">
      <c r="A104" s="398"/>
      <c r="B104" s="399"/>
      <c r="C104" s="385"/>
      <c r="D104" s="398"/>
      <c r="E104" s="398"/>
      <c r="F104" s="386"/>
      <c r="G104" s="386"/>
      <c r="H104" s="386"/>
      <c r="I104" s="386"/>
      <c r="J104" s="386"/>
      <c r="K104" s="386"/>
      <c r="L104" s="386"/>
    </row>
    <row r="105" spans="1:12" ht="16.5">
      <c r="A105" s="398"/>
      <c r="B105" s="399"/>
      <c r="C105" s="385"/>
      <c r="D105" s="398"/>
      <c r="E105" s="398"/>
      <c r="F105" s="386"/>
      <c r="G105" s="386"/>
      <c r="H105" s="386"/>
      <c r="I105" s="386"/>
      <c r="J105" s="386"/>
      <c r="K105" s="386"/>
      <c r="L105" s="386"/>
    </row>
    <row r="106" spans="1:12" ht="16.5">
      <c r="A106" s="398"/>
      <c r="B106" s="399"/>
      <c r="C106" s="385"/>
      <c r="D106" s="398"/>
      <c r="E106" s="398"/>
      <c r="F106" s="386"/>
      <c r="G106" s="386"/>
      <c r="H106" s="386"/>
      <c r="I106" s="386"/>
      <c r="J106" s="386"/>
      <c r="K106" s="386"/>
      <c r="L106" s="386"/>
    </row>
    <row r="107" spans="1:12" ht="16.5">
      <c r="A107" s="398"/>
      <c r="B107" s="399"/>
      <c r="C107" s="385"/>
      <c r="D107" s="398"/>
      <c r="E107" s="398"/>
      <c r="F107" s="386"/>
      <c r="G107" s="386"/>
      <c r="H107" s="386"/>
      <c r="I107" s="386"/>
      <c r="J107" s="386"/>
      <c r="K107" s="386"/>
      <c r="L107" s="386"/>
    </row>
    <row r="108" spans="1:12" ht="16.5">
      <c r="A108" s="398"/>
      <c r="B108" s="399"/>
      <c r="C108" s="385"/>
      <c r="D108" s="398"/>
      <c r="E108" s="398"/>
      <c r="F108" s="386"/>
      <c r="G108" s="386"/>
      <c r="H108" s="386"/>
      <c r="I108" s="386"/>
      <c r="J108" s="386"/>
      <c r="K108" s="386"/>
      <c r="L108" s="386"/>
    </row>
    <row r="109" spans="1:12" ht="16.5">
      <c r="A109" s="398"/>
      <c r="B109" s="399"/>
      <c r="C109" s="385"/>
      <c r="D109" s="398"/>
      <c r="E109" s="398"/>
      <c r="F109" s="386"/>
      <c r="G109" s="386"/>
      <c r="H109" s="386"/>
      <c r="I109" s="386"/>
      <c r="J109" s="386"/>
      <c r="K109" s="386"/>
      <c r="L109" s="386"/>
    </row>
    <row r="110" spans="1:12" ht="16.5">
      <c r="A110" s="398"/>
      <c r="B110" s="399"/>
      <c r="C110" s="385"/>
      <c r="D110" s="398"/>
      <c r="E110" s="398"/>
      <c r="F110" s="386"/>
      <c r="G110" s="386"/>
      <c r="H110" s="386"/>
      <c r="I110" s="386"/>
      <c r="J110" s="386"/>
      <c r="K110" s="386"/>
      <c r="L110" s="386"/>
    </row>
    <row r="111" spans="1:12" ht="16.5">
      <c r="A111" s="398"/>
      <c r="B111" s="399"/>
      <c r="C111" s="385"/>
      <c r="D111" s="398"/>
      <c r="E111" s="398"/>
      <c r="F111" s="386"/>
      <c r="G111" s="386"/>
      <c r="H111" s="386"/>
      <c r="I111" s="386"/>
      <c r="J111" s="386"/>
      <c r="K111" s="386"/>
      <c r="L111" s="386"/>
    </row>
    <row r="112" spans="1:12" ht="16.5">
      <c r="A112" s="398"/>
      <c r="B112" s="399"/>
      <c r="C112" s="385"/>
      <c r="D112" s="398"/>
      <c r="E112" s="398"/>
      <c r="F112" s="386"/>
      <c r="G112" s="386"/>
      <c r="H112" s="386"/>
      <c r="I112" s="386"/>
      <c r="J112" s="386"/>
      <c r="K112" s="386"/>
      <c r="L112" s="386"/>
    </row>
    <row r="113" spans="1:12" ht="16.5">
      <c r="A113" s="398"/>
      <c r="B113" s="399"/>
      <c r="C113" s="385"/>
      <c r="D113" s="398"/>
      <c r="E113" s="398"/>
      <c r="F113" s="386"/>
      <c r="G113" s="386"/>
      <c r="H113" s="386"/>
      <c r="I113" s="386"/>
      <c r="J113" s="386"/>
      <c r="K113" s="386"/>
      <c r="L113" s="386"/>
    </row>
    <row r="114" spans="1:12" ht="16.5">
      <c r="A114" s="398"/>
      <c r="B114" s="399"/>
      <c r="C114" s="385"/>
      <c r="D114" s="398"/>
      <c r="E114" s="398"/>
      <c r="F114" s="386"/>
      <c r="G114" s="386"/>
      <c r="H114" s="386"/>
      <c r="I114" s="386"/>
      <c r="J114" s="386"/>
      <c r="K114" s="386"/>
      <c r="L114" s="386"/>
    </row>
    <row r="115" spans="1:12" ht="16.5">
      <c r="A115" s="398"/>
      <c r="B115" s="399"/>
      <c r="C115" s="385"/>
      <c r="D115" s="398"/>
      <c r="E115" s="398"/>
      <c r="F115" s="386"/>
      <c r="G115" s="386"/>
      <c r="H115" s="386"/>
      <c r="I115" s="386"/>
      <c r="J115" s="386"/>
      <c r="K115" s="386"/>
      <c r="L115" s="386"/>
    </row>
    <row r="116" spans="1:12" ht="16.5">
      <c r="A116" s="398"/>
      <c r="B116" s="399"/>
      <c r="C116" s="385"/>
      <c r="D116" s="398"/>
      <c r="E116" s="398"/>
      <c r="F116" s="386"/>
      <c r="G116" s="386"/>
      <c r="H116" s="386"/>
      <c r="I116" s="386"/>
      <c r="J116" s="386"/>
      <c r="K116" s="386"/>
      <c r="L116" s="386"/>
    </row>
    <row r="117" spans="1:12" ht="16.5">
      <c r="A117" s="398"/>
      <c r="B117" s="399"/>
      <c r="C117" s="385"/>
      <c r="D117" s="398"/>
      <c r="E117" s="398"/>
      <c r="F117" s="386"/>
      <c r="G117" s="386"/>
      <c r="H117" s="386"/>
      <c r="I117" s="386"/>
      <c r="J117" s="386"/>
      <c r="K117" s="386"/>
      <c r="L117" s="386"/>
    </row>
    <row r="118" spans="1:12" ht="16.5">
      <c r="A118" s="398"/>
      <c r="B118" s="399"/>
      <c r="C118" s="385"/>
      <c r="D118" s="398"/>
      <c r="E118" s="398"/>
      <c r="F118" s="386"/>
      <c r="G118" s="386"/>
      <c r="H118" s="386"/>
      <c r="I118" s="386"/>
      <c r="J118" s="386"/>
      <c r="K118" s="386"/>
      <c r="L118" s="386"/>
    </row>
    <row r="119" spans="1:12" ht="16.5">
      <c r="A119" s="398"/>
      <c r="B119" s="399"/>
      <c r="C119" s="385"/>
      <c r="D119" s="398"/>
      <c r="E119" s="398"/>
      <c r="F119" s="386"/>
      <c r="G119" s="386"/>
      <c r="H119" s="386"/>
      <c r="I119" s="386"/>
      <c r="J119" s="386"/>
      <c r="K119" s="386"/>
      <c r="L119" s="386"/>
    </row>
    <row r="120" spans="1:12" ht="16.5">
      <c r="A120" s="398"/>
      <c r="B120" s="399"/>
      <c r="C120" s="385"/>
      <c r="D120" s="398"/>
      <c r="E120" s="398"/>
      <c r="F120" s="386"/>
      <c r="G120" s="386"/>
      <c r="H120" s="386"/>
      <c r="I120" s="386"/>
      <c r="J120" s="386"/>
      <c r="K120" s="386"/>
      <c r="L120" s="386"/>
    </row>
    <row r="121" spans="1:12" ht="16.5">
      <c r="A121" s="398"/>
      <c r="B121" s="399"/>
      <c r="C121" s="385"/>
      <c r="D121" s="398"/>
      <c r="E121" s="398"/>
      <c r="F121" s="386"/>
      <c r="G121" s="386"/>
      <c r="H121" s="386"/>
      <c r="I121" s="386"/>
      <c r="J121" s="386"/>
      <c r="K121" s="386"/>
      <c r="L121" s="386"/>
    </row>
    <row r="122" spans="1:12" ht="16.5">
      <c r="A122" s="398"/>
      <c r="B122" s="399"/>
      <c r="C122" s="385"/>
      <c r="D122" s="398"/>
      <c r="E122" s="398"/>
      <c r="F122" s="386"/>
      <c r="G122" s="386"/>
      <c r="H122" s="386"/>
      <c r="I122" s="386"/>
      <c r="J122" s="386"/>
      <c r="K122" s="386"/>
      <c r="L122" s="386"/>
    </row>
    <row r="123" spans="1:12" ht="16.5">
      <c r="A123" s="398"/>
      <c r="B123" s="399"/>
      <c r="C123" s="385"/>
      <c r="D123" s="398"/>
      <c r="E123" s="398"/>
      <c r="F123" s="386"/>
      <c r="G123" s="386"/>
      <c r="H123" s="386"/>
      <c r="I123" s="386"/>
      <c r="J123" s="386"/>
      <c r="K123" s="386"/>
      <c r="L123" s="386"/>
    </row>
    <row r="124" spans="1:12" ht="16.5">
      <c r="A124" s="398"/>
      <c r="B124" s="399"/>
      <c r="C124" s="385"/>
      <c r="D124" s="398"/>
      <c r="E124" s="398"/>
      <c r="F124" s="386"/>
      <c r="G124" s="386"/>
      <c r="H124" s="386"/>
      <c r="I124" s="386"/>
      <c r="J124" s="386"/>
      <c r="K124" s="386"/>
      <c r="L124" s="386"/>
    </row>
    <row r="125" spans="1:12" ht="16.5">
      <c r="A125" s="398"/>
      <c r="B125" s="399"/>
      <c r="C125" s="385"/>
      <c r="D125" s="398"/>
      <c r="E125" s="398"/>
      <c r="F125" s="386"/>
      <c r="G125" s="386"/>
      <c r="H125" s="386"/>
      <c r="I125" s="386"/>
      <c r="J125" s="386"/>
      <c r="K125" s="386"/>
      <c r="L125" s="386"/>
    </row>
    <row r="126" spans="1:12" ht="16.5">
      <c r="A126" s="398"/>
      <c r="B126" s="399"/>
      <c r="C126" s="385"/>
      <c r="D126" s="398"/>
      <c r="E126" s="398"/>
      <c r="F126" s="386"/>
      <c r="G126" s="386"/>
      <c r="H126" s="386"/>
      <c r="I126" s="386"/>
      <c r="J126" s="386"/>
      <c r="K126" s="386"/>
      <c r="L126" s="386"/>
    </row>
    <row r="127" spans="1:12" ht="16.5">
      <c r="A127" s="398"/>
      <c r="B127" s="399"/>
      <c r="C127" s="385"/>
      <c r="D127" s="398"/>
      <c r="E127" s="398"/>
      <c r="F127" s="386"/>
      <c r="G127" s="386"/>
      <c r="H127" s="386"/>
      <c r="I127" s="386"/>
      <c r="J127" s="386"/>
      <c r="K127" s="386"/>
      <c r="L127" s="386"/>
    </row>
    <row r="128" spans="1:12" ht="16.5">
      <c r="A128" s="398"/>
      <c r="B128" s="399"/>
      <c r="C128" s="385"/>
      <c r="D128" s="398"/>
      <c r="E128" s="398"/>
      <c r="F128" s="386"/>
      <c r="G128" s="386"/>
      <c r="H128" s="386"/>
      <c r="I128" s="386"/>
      <c r="J128" s="386"/>
      <c r="K128" s="386"/>
      <c r="L128" s="386"/>
    </row>
    <row r="129" spans="1:12" ht="16.5">
      <c r="A129" s="398"/>
      <c r="B129" s="399"/>
      <c r="C129" s="385"/>
      <c r="D129" s="398"/>
      <c r="E129" s="398"/>
      <c r="F129" s="386"/>
      <c r="G129" s="386"/>
      <c r="H129" s="386"/>
      <c r="I129" s="386"/>
      <c r="J129" s="386"/>
      <c r="K129" s="386"/>
      <c r="L129" s="386"/>
    </row>
    <row r="130" spans="1:12" ht="16.5">
      <c r="A130" s="398"/>
      <c r="B130" s="399"/>
      <c r="C130" s="385"/>
      <c r="D130" s="398"/>
      <c r="E130" s="398"/>
      <c r="F130" s="386"/>
      <c r="G130" s="386"/>
      <c r="H130" s="386"/>
      <c r="I130" s="386"/>
      <c r="J130" s="386"/>
      <c r="K130" s="386"/>
      <c r="L130" s="386"/>
    </row>
    <row r="131" spans="1:12" ht="16.5">
      <c r="A131" s="398"/>
      <c r="B131" s="399"/>
      <c r="C131" s="385"/>
      <c r="D131" s="398"/>
      <c r="E131" s="398"/>
      <c r="F131" s="386"/>
      <c r="G131" s="386"/>
      <c r="H131" s="386"/>
      <c r="I131" s="386"/>
      <c r="J131" s="386"/>
      <c r="K131" s="386"/>
      <c r="L131" s="386"/>
    </row>
    <row r="132" spans="1:12" ht="16.5">
      <c r="A132" s="398"/>
      <c r="B132" s="399"/>
      <c r="C132" s="385"/>
      <c r="D132" s="398"/>
      <c r="E132" s="398"/>
      <c r="F132" s="386"/>
      <c r="G132" s="386"/>
      <c r="H132" s="386"/>
      <c r="I132" s="386"/>
      <c r="J132" s="386"/>
      <c r="K132" s="386"/>
      <c r="L132" s="386"/>
    </row>
    <row r="133" spans="1:12" ht="16.5">
      <c r="A133" s="398"/>
      <c r="B133" s="399"/>
      <c r="C133" s="385"/>
      <c r="D133" s="398"/>
      <c r="E133" s="398"/>
      <c r="F133" s="386"/>
      <c r="G133" s="386"/>
      <c r="H133" s="386"/>
      <c r="I133" s="386"/>
      <c r="J133" s="386"/>
      <c r="K133" s="386"/>
      <c r="L133" s="386"/>
    </row>
    <row r="134" spans="1:12" ht="16.5">
      <c r="A134" s="398"/>
      <c r="B134" s="399"/>
      <c r="C134" s="385"/>
      <c r="D134" s="398"/>
      <c r="E134" s="398"/>
      <c r="F134" s="386"/>
      <c r="G134" s="386"/>
      <c r="H134" s="386"/>
      <c r="I134" s="386"/>
      <c r="J134" s="386"/>
      <c r="K134" s="386"/>
      <c r="L134" s="386"/>
    </row>
    <row r="135" spans="1:12" ht="16.5">
      <c r="A135" s="398"/>
      <c r="B135" s="399"/>
      <c r="C135" s="385"/>
      <c r="D135" s="398"/>
      <c r="E135" s="398"/>
      <c r="F135" s="386"/>
      <c r="G135" s="386"/>
      <c r="H135" s="386"/>
      <c r="I135" s="386"/>
      <c r="J135" s="386"/>
      <c r="K135" s="386"/>
      <c r="L135" s="386"/>
    </row>
    <row r="136" spans="1:12" ht="16.5">
      <c r="A136" s="398"/>
      <c r="B136" s="399"/>
      <c r="C136" s="385"/>
      <c r="D136" s="398"/>
      <c r="E136" s="398"/>
      <c r="F136" s="386"/>
      <c r="G136" s="386"/>
      <c r="H136" s="386"/>
      <c r="I136" s="386"/>
      <c r="J136" s="386"/>
      <c r="K136" s="386"/>
      <c r="L136" s="386"/>
    </row>
    <row r="137" spans="1:12" ht="16.5">
      <c r="A137" s="398"/>
      <c r="B137" s="399"/>
      <c r="C137" s="385"/>
      <c r="D137" s="398"/>
      <c r="E137" s="398"/>
      <c r="F137" s="386"/>
      <c r="G137" s="386"/>
      <c r="H137" s="386"/>
      <c r="I137" s="386"/>
      <c r="J137" s="386"/>
      <c r="K137" s="386"/>
      <c r="L137" s="386"/>
    </row>
    <row r="138" spans="1:12" ht="16.5">
      <c r="A138" s="398"/>
      <c r="B138" s="399"/>
      <c r="C138" s="385"/>
      <c r="D138" s="398"/>
      <c r="E138" s="398"/>
      <c r="F138" s="386"/>
      <c r="G138" s="386"/>
      <c r="H138" s="386"/>
      <c r="I138" s="386"/>
      <c r="J138" s="386"/>
      <c r="K138" s="386"/>
      <c r="L138" s="386"/>
    </row>
    <row r="139" spans="1:12" ht="16.5">
      <c r="A139" s="398"/>
      <c r="B139" s="399"/>
      <c r="C139" s="385"/>
      <c r="D139" s="398"/>
      <c r="E139" s="398"/>
      <c r="F139" s="386"/>
      <c r="G139" s="386"/>
      <c r="H139" s="386"/>
      <c r="I139" s="386"/>
      <c r="J139" s="386"/>
      <c r="K139" s="386"/>
      <c r="L139" s="386"/>
    </row>
    <row r="140" spans="1:12" ht="16.5">
      <c r="A140" s="398"/>
      <c r="B140" s="399"/>
      <c r="C140" s="385"/>
      <c r="D140" s="398"/>
      <c r="E140" s="398"/>
      <c r="F140" s="386"/>
      <c r="G140" s="386"/>
      <c r="H140" s="386"/>
      <c r="I140" s="386"/>
      <c r="J140" s="386"/>
      <c r="K140" s="386"/>
      <c r="L140" s="386"/>
    </row>
    <row r="141" spans="1:12" ht="16.5">
      <c r="A141" s="398"/>
      <c r="B141" s="399"/>
      <c r="C141" s="385"/>
      <c r="D141" s="398"/>
      <c r="E141" s="398"/>
      <c r="F141" s="386"/>
      <c r="G141" s="386"/>
      <c r="H141" s="386"/>
      <c r="I141" s="386"/>
      <c r="J141" s="386"/>
      <c r="K141" s="386"/>
      <c r="L141" s="386"/>
    </row>
    <row r="142" spans="1:12" ht="16.5">
      <c r="A142" s="398"/>
      <c r="B142" s="399"/>
      <c r="C142" s="385"/>
      <c r="D142" s="398"/>
      <c r="E142" s="398"/>
      <c r="F142" s="386"/>
      <c r="G142" s="386"/>
      <c r="H142" s="386"/>
      <c r="I142" s="386"/>
      <c r="J142" s="386"/>
      <c r="K142" s="386"/>
      <c r="L142" s="386"/>
    </row>
    <row r="143" spans="1:12" ht="16.5">
      <c r="A143" s="398"/>
      <c r="B143" s="399"/>
      <c r="C143" s="385"/>
      <c r="D143" s="398"/>
      <c r="E143" s="398"/>
      <c r="F143" s="386"/>
      <c r="G143" s="386"/>
      <c r="H143" s="386"/>
      <c r="I143" s="386"/>
      <c r="J143" s="386"/>
      <c r="K143" s="386"/>
      <c r="L143" s="386"/>
    </row>
    <row r="144" spans="1:12" ht="16.5">
      <c r="A144" s="398"/>
      <c r="B144" s="399"/>
      <c r="C144" s="385"/>
      <c r="D144" s="398"/>
      <c r="E144" s="398"/>
      <c r="F144" s="386"/>
      <c r="G144" s="386"/>
      <c r="H144" s="386"/>
      <c r="I144" s="386"/>
      <c r="J144" s="386"/>
      <c r="K144" s="386"/>
      <c r="L144" s="386"/>
    </row>
    <row r="145" spans="1:12" ht="16.5">
      <c r="A145" s="398"/>
      <c r="B145" s="399"/>
      <c r="C145" s="385"/>
      <c r="D145" s="398"/>
      <c r="E145" s="398"/>
      <c r="F145" s="386"/>
      <c r="G145" s="386"/>
      <c r="H145" s="386"/>
      <c r="I145" s="386"/>
      <c r="J145" s="386"/>
      <c r="K145" s="386"/>
      <c r="L145" s="386"/>
    </row>
    <row r="146" spans="1:12" ht="16.5">
      <c r="A146" s="398"/>
      <c r="B146" s="399"/>
      <c r="C146" s="385"/>
      <c r="D146" s="398"/>
      <c r="E146" s="398"/>
      <c r="F146" s="386"/>
      <c r="G146" s="386"/>
      <c r="H146" s="386"/>
      <c r="I146" s="386"/>
      <c r="J146" s="386"/>
      <c r="K146" s="386"/>
      <c r="L146" s="386"/>
    </row>
    <row r="147" spans="1:12" ht="16.5">
      <c r="A147" s="398"/>
      <c r="B147" s="399"/>
      <c r="C147" s="385"/>
      <c r="D147" s="398"/>
      <c r="E147" s="398"/>
      <c r="F147" s="386"/>
      <c r="G147" s="386"/>
      <c r="H147" s="386"/>
      <c r="I147" s="386"/>
      <c r="J147" s="386"/>
      <c r="K147" s="386"/>
      <c r="L147" s="386"/>
    </row>
    <row r="148" spans="1:12" ht="16.5">
      <c r="A148" s="398"/>
      <c r="B148" s="399"/>
      <c r="C148" s="385"/>
      <c r="D148" s="398"/>
      <c r="E148" s="398"/>
      <c r="F148" s="386"/>
      <c r="G148" s="386"/>
      <c r="H148" s="386"/>
      <c r="I148" s="386"/>
      <c r="J148" s="386"/>
      <c r="K148" s="386"/>
      <c r="L148" s="386"/>
    </row>
    <row r="149" spans="1:12" ht="16.5">
      <c r="A149" s="398"/>
      <c r="B149" s="399"/>
      <c r="C149" s="385"/>
      <c r="D149" s="398"/>
      <c r="E149" s="398"/>
      <c r="F149" s="386"/>
      <c r="G149" s="386"/>
      <c r="H149" s="386"/>
      <c r="I149" s="386"/>
      <c r="J149" s="386"/>
      <c r="K149" s="386"/>
      <c r="L149" s="386"/>
    </row>
    <row r="150" spans="1:12" ht="16.5">
      <c r="A150" s="398"/>
      <c r="B150" s="399"/>
      <c r="C150" s="385"/>
      <c r="D150" s="398"/>
      <c r="E150" s="398"/>
      <c r="F150" s="386"/>
      <c r="G150" s="386"/>
      <c r="H150" s="386"/>
      <c r="I150" s="386"/>
      <c r="J150" s="386"/>
      <c r="K150" s="386"/>
      <c r="L150" s="386"/>
    </row>
    <row r="151" spans="1:12" ht="16.5">
      <c r="A151" s="398"/>
      <c r="B151" s="399"/>
      <c r="C151" s="385"/>
      <c r="D151" s="398"/>
      <c r="E151" s="398"/>
      <c r="F151" s="386"/>
      <c r="G151" s="386"/>
      <c r="H151" s="386"/>
      <c r="I151" s="386"/>
      <c r="J151" s="386"/>
      <c r="K151" s="386"/>
      <c r="L151" s="386"/>
    </row>
    <row r="152" spans="1:12" ht="16.5">
      <c r="A152" s="398"/>
      <c r="B152" s="399"/>
      <c r="C152" s="385"/>
      <c r="D152" s="398"/>
      <c r="E152" s="398"/>
      <c r="F152" s="386"/>
      <c r="G152" s="386"/>
      <c r="H152" s="386"/>
      <c r="I152" s="386"/>
      <c r="J152" s="386"/>
      <c r="K152" s="386"/>
      <c r="L152" s="386"/>
    </row>
    <row r="153" spans="1:12" ht="16.5">
      <c r="A153" s="398"/>
      <c r="B153" s="399"/>
      <c r="C153" s="385"/>
      <c r="D153" s="398"/>
      <c r="E153" s="398"/>
      <c r="F153" s="386"/>
      <c r="G153" s="386"/>
      <c r="H153" s="386"/>
      <c r="I153" s="386"/>
      <c r="J153" s="386"/>
      <c r="K153" s="386"/>
      <c r="L153" s="386"/>
    </row>
    <row r="154" spans="1:12" ht="16.5">
      <c r="A154" s="398"/>
      <c r="B154" s="399"/>
      <c r="C154" s="385"/>
      <c r="D154" s="398"/>
      <c r="E154" s="398"/>
      <c r="F154" s="386"/>
      <c r="G154" s="386"/>
      <c r="H154" s="386"/>
      <c r="I154" s="386"/>
      <c r="J154" s="386"/>
      <c r="K154" s="386"/>
      <c r="L154" s="386"/>
    </row>
    <row r="155" spans="1:12" ht="16.5">
      <c r="A155" s="398"/>
      <c r="B155" s="399"/>
      <c r="C155" s="385"/>
      <c r="D155" s="398"/>
      <c r="E155" s="398"/>
      <c r="F155" s="386"/>
      <c r="G155" s="386"/>
      <c r="H155" s="386"/>
      <c r="I155" s="386"/>
      <c r="J155" s="386"/>
      <c r="K155" s="386"/>
      <c r="L155" s="386"/>
    </row>
    <row r="156" spans="1:12" ht="16.5">
      <c r="A156" s="398"/>
      <c r="B156" s="399"/>
      <c r="C156" s="385"/>
      <c r="D156" s="398"/>
      <c r="E156" s="398"/>
      <c r="F156" s="386"/>
      <c r="G156" s="386"/>
      <c r="H156" s="386"/>
      <c r="I156" s="386"/>
      <c r="J156" s="386"/>
      <c r="K156" s="386"/>
      <c r="L156" s="386"/>
    </row>
    <row r="157" spans="1:12" ht="16.5">
      <c r="A157" s="398"/>
      <c r="B157" s="399"/>
      <c r="C157" s="385"/>
      <c r="D157" s="398"/>
      <c r="E157" s="398"/>
      <c r="F157" s="386"/>
      <c r="G157" s="386"/>
      <c r="H157" s="386"/>
      <c r="I157" s="386"/>
      <c r="J157" s="386"/>
      <c r="K157" s="386"/>
      <c r="L157" s="386"/>
    </row>
    <row r="158" spans="1:12" ht="16.5">
      <c r="A158" s="398"/>
      <c r="B158" s="399"/>
      <c r="C158" s="385"/>
      <c r="D158" s="398"/>
      <c r="E158" s="398"/>
      <c r="F158" s="386"/>
      <c r="G158" s="386"/>
      <c r="H158" s="386"/>
      <c r="I158" s="386"/>
      <c r="J158" s="386"/>
      <c r="K158" s="386"/>
      <c r="L158" s="386"/>
    </row>
    <row r="159" spans="1:12" ht="16.5">
      <c r="A159" s="398"/>
      <c r="B159" s="399"/>
      <c r="C159" s="385"/>
      <c r="D159" s="398"/>
      <c r="E159" s="398"/>
      <c r="F159" s="386"/>
      <c r="G159" s="386"/>
      <c r="H159" s="386"/>
      <c r="I159" s="386"/>
      <c r="J159" s="386"/>
      <c r="K159" s="386"/>
      <c r="L159" s="386"/>
    </row>
    <row r="160" spans="1:12" ht="16.5">
      <c r="A160" s="398"/>
      <c r="B160" s="399"/>
      <c r="C160" s="385"/>
      <c r="D160" s="398"/>
      <c r="E160" s="398"/>
      <c r="F160" s="386"/>
      <c r="G160" s="386"/>
      <c r="H160" s="386"/>
      <c r="I160" s="386"/>
      <c r="J160" s="386"/>
      <c r="K160" s="386"/>
      <c r="L160" s="386"/>
    </row>
    <row r="161" spans="1:12" ht="16.5">
      <c r="A161" s="398"/>
      <c r="B161" s="399"/>
      <c r="C161" s="385"/>
      <c r="D161" s="398"/>
      <c r="E161" s="398"/>
      <c r="F161" s="386"/>
      <c r="G161" s="386"/>
      <c r="H161" s="386"/>
      <c r="I161" s="386"/>
      <c r="J161" s="386"/>
      <c r="K161" s="386"/>
      <c r="L161" s="386"/>
    </row>
    <row r="162" spans="1:12" ht="16.5">
      <c r="A162" s="398"/>
      <c r="B162" s="399"/>
      <c r="C162" s="385"/>
      <c r="D162" s="398"/>
      <c r="E162" s="398"/>
      <c r="F162" s="386"/>
      <c r="G162" s="386"/>
      <c r="H162" s="386"/>
      <c r="I162" s="386"/>
      <c r="J162" s="386"/>
      <c r="K162" s="386"/>
      <c r="L162" s="386"/>
    </row>
    <row r="163" spans="1:12" ht="16.5">
      <c r="A163" s="398"/>
      <c r="B163" s="399"/>
      <c r="C163" s="385"/>
      <c r="D163" s="398"/>
      <c r="E163" s="398"/>
      <c r="F163" s="386"/>
      <c r="G163" s="386"/>
      <c r="H163" s="386"/>
      <c r="I163" s="386"/>
      <c r="J163" s="386"/>
      <c r="K163" s="386"/>
      <c r="L163" s="386"/>
    </row>
    <row r="164" spans="1:12" ht="16.5">
      <c r="A164" s="398"/>
      <c r="B164" s="399"/>
      <c r="C164" s="385"/>
      <c r="D164" s="398"/>
      <c r="E164" s="398"/>
      <c r="F164" s="386"/>
      <c r="G164" s="386"/>
      <c r="H164" s="386"/>
      <c r="I164" s="386"/>
      <c r="J164" s="386"/>
      <c r="K164" s="386"/>
      <c r="L164" s="386"/>
    </row>
    <row r="165" spans="1:12" ht="16.5">
      <c r="A165" s="398"/>
      <c r="B165" s="399"/>
      <c r="C165" s="385"/>
      <c r="D165" s="398"/>
      <c r="E165" s="398"/>
      <c r="F165" s="386"/>
      <c r="G165" s="386"/>
      <c r="H165" s="386"/>
      <c r="I165" s="386"/>
      <c r="J165" s="386"/>
      <c r="K165" s="386"/>
      <c r="L165" s="386"/>
    </row>
    <row r="166" spans="1:12" ht="16.5">
      <c r="A166" s="398"/>
      <c r="B166" s="399"/>
      <c r="C166" s="385"/>
      <c r="D166" s="398"/>
      <c r="E166" s="398"/>
      <c r="F166" s="386"/>
      <c r="G166" s="386"/>
      <c r="H166" s="386"/>
      <c r="I166" s="386"/>
      <c r="J166" s="386"/>
      <c r="K166" s="386"/>
      <c r="L166" s="386"/>
    </row>
    <row r="167" spans="1:12" ht="16.5">
      <c r="A167" s="398"/>
      <c r="B167" s="399"/>
      <c r="C167" s="385"/>
      <c r="D167" s="398"/>
      <c r="E167" s="398"/>
      <c r="F167" s="386"/>
      <c r="G167" s="386"/>
      <c r="H167" s="386"/>
      <c r="I167" s="386"/>
      <c r="J167" s="386"/>
      <c r="K167" s="386"/>
      <c r="L167" s="386"/>
    </row>
    <row r="168" spans="1:12" ht="16.5">
      <c r="A168" s="398"/>
      <c r="B168" s="399"/>
      <c r="C168" s="385"/>
      <c r="D168" s="398"/>
      <c r="E168" s="398"/>
      <c r="F168" s="386"/>
      <c r="G168" s="386"/>
      <c r="H168" s="386"/>
      <c r="I168" s="386"/>
      <c r="J168" s="386"/>
      <c r="K168" s="386"/>
      <c r="L168" s="386"/>
    </row>
    <row r="169" spans="1:12" ht="16.5">
      <c r="A169" s="398"/>
      <c r="B169" s="399"/>
      <c r="C169" s="385"/>
      <c r="D169" s="398"/>
      <c r="E169" s="398"/>
      <c r="F169" s="386"/>
      <c r="G169" s="386"/>
      <c r="H169" s="386"/>
      <c r="I169" s="386"/>
      <c r="J169" s="386"/>
      <c r="K169" s="386"/>
      <c r="L169" s="386"/>
    </row>
    <row r="170" spans="1:12" ht="16.5">
      <c r="A170" s="398"/>
      <c r="B170" s="399"/>
      <c r="C170" s="385"/>
      <c r="D170" s="398"/>
      <c r="E170" s="398"/>
      <c r="F170" s="386"/>
      <c r="G170" s="386"/>
      <c r="H170" s="386"/>
      <c r="I170" s="386"/>
      <c r="J170" s="386"/>
      <c r="K170" s="386"/>
      <c r="L170" s="386"/>
    </row>
    <row r="171" spans="1:12" ht="16.5">
      <c r="A171" s="398"/>
      <c r="B171" s="399"/>
      <c r="C171" s="385"/>
      <c r="D171" s="398"/>
      <c r="E171" s="398"/>
      <c r="F171" s="386"/>
      <c r="G171" s="386"/>
      <c r="H171" s="386"/>
      <c r="I171" s="386"/>
      <c r="J171" s="386"/>
      <c r="K171" s="386"/>
      <c r="L171" s="386"/>
    </row>
    <row r="172" spans="1:12" ht="16.5">
      <c r="A172" s="398"/>
      <c r="B172" s="399"/>
      <c r="C172" s="385"/>
      <c r="D172" s="398"/>
      <c r="E172" s="398"/>
      <c r="F172" s="386"/>
      <c r="G172" s="386"/>
      <c r="H172" s="386"/>
      <c r="I172" s="386"/>
      <c r="J172" s="386"/>
      <c r="K172" s="386"/>
      <c r="L172" s="386"/>
    </row>
    <row r="173" spans="1:12" ht="16.5">
      <c r="A173" s="398"/>
      <c r="B173" s="399"/>
      <c r="C173" s="385"/>
      <c r="D173" s="398"/>
      <c r="E173" s="398"/>
      <c r="F173" s="386"/>
      <c r="G173" s="386"/>
      <c r="H173" s="386"/>
      <c r="I173" s="386"/>
      <c r="J173" s="386"/>
      <c r="K173" s="386"/>
      <c r="L173" s="386"/>
    </row>
    <row r="174" spans="1:12" ht="16.5">
      <c r="A174" s="398"/>
      <c r="B174" s="399"/>
      <c r="C174" s="385"/>
      <c r="D174" s="398"/>
      <c r="E174" s="398"/>
      <c r="F174" s="386"/>
      <c r="G174" s="386"/>
      <c r="H174" s="386"/>
      <c r="I174" s="386"/>
      <c r="J174" s="386"/>
      <c r="K174" s="386"/>
      <c r="L174" s="386"/>
    </row>
    <row r="175" spans="1:12" ht="16.5">
      <c r="A175" s="398"/>
      <c r="B175" s="399"/>
      <c r="C175" s="385"/>
      <c r="D175" s="398"/>
      <c r="E175" s="398"/>
      <c r="F175" s="386"/>
      <c r="G175" s="386"/>
      <c r="H175" s="386"/>
      <c r="I175" s="386"/>
      <c r="J175" s="386"/>
      <c r="K175" s="386"/>
      <c r="L175" s="386"/>
    </row>
    <row r="176" spans="1:12" ht="16.5">
      <c r="A176" s="398"/>
      <c r="B176" s="399"/>
      <c r="C176" s="385"/>
      <c r="D176" s="398"/>
      <c r="E176" s="398"/>
      <c r="F176" s="386"/>
      <c r="G176" s="386"/>
      <c r="H176" s="386"/>
      <c r="I176" s="386"/>
      <c r="J176" s="386"/>
      <c r="K176" s="386"/>
      <c r="L176" s="386"/>
    </row>
    <row r="177" spans="1:12" ht="16.5">
      <c r="A177" s="398"/>
      <c r="B177" s="399"/>
      <c r="C177" s="385"/>
      <c r="D177" s="398"/>
      <c r="E177" s="398"/>
      <c r="F177" s="386"/>
      <c r="G177" s="386"/>
      <c r="H177" s="386"/>
      <c r="I177" s="386"/>
      <c r="J177" s="386"/>
      <c r="K177" s="386"/>
      <c r="L177" s="386"/>
    </row>
    <row r="178" spans="1:12" ht="16.5">
      <c r="A178" s="398"/>
      <c r="B178" s="399"/>
      <c r="C178" s="385"/>
      <c r="D178" s="398"/>
      <c r="E178" s="398"/>
      <c r="F178" s="386"/>
      <c r="G178" s="386"/>
      <c r="H178" s="386"/>
      <c r="I178" s="386"/>
      <c r="J178" s="386"/>
      <c r="K178" s="386"/>
      <c r="L178" s="386"/>
    </row>
    <row r="179" spans="1:12" ht="16.5">
      <c r="A179" s="398"/>
      <c r="B179" s="399"/>
      <c r="C179" s="385"/>
      <c r="D179" s="398"/>
      <c r="E179" s="398"/>
      <c r="F179" s="386"/>
      <c r="G179" s="386"/>
      <c r="H179" s="386"/>
      <c r="I179" s="386"/>
      <c r="J179" s="386"/>
      <c r="K179" s="386"/>
      <c r="L179" s="386"/>
    </row>
    <row r="180" spans="1:12" ht="16.5">
      <c r="A180" s="398"/>
      <c r="B180" s="399"/>
      <c r="C180" s="385"/>
      <c r="D180" s="398"/>
      <c r="E180" s="398"/>
      <c r="F180" s="386"/>
      <c r="G180" s="386"/>
      <c r="H180" s="386"/>
      <c r="I180" s="386"/>
      <c r="J180" s="386"/>
      <c r="K180" s="386"/>
      <c r="L180" s="386"/>
    </row>
    <row r="181" spans="1:12" ht="16.5">
      <c r="A181" s="398"/>
      <c r="B181" s="399"/>
      <c r="C181" s="385"/>
      <c r="D181" s="398"/>
      <c r="E181" s="398"/>
      <c r="F181" s="386"/>
      <c r="G181" s="386"/>
      <c r="H181" s="386"/>
      <c r="I181" s="386"/>
      <c r="J181" s="386"/>
      <c r="K181" s="386"/>
      <c r="L181" s="386"/>
    </row>
    <row r="182" spans="1:12" ht="16.5">
      <c r="A182" s="398"/>
      <c r="B182" s="399"/>
      <c r="C182" s="385"/>
      <c r="D182" s="398"/>
      <c r="E182" s="398"/>
      <c r="F182" s="386"/>
      <c r="G182" s="386"/>
      <c r="H182" s="386"/>
      <c r="I182" s="386"/>
      <c r="J182" s="386"/>
      <c r="K182" s="386"/>
      <c r="L182" s="386"/>
    </row>
    <row r="183" spans="1:12" ht="16.5">
      <c r="A183" s="398"/>
      <c r="B183" s="399"/>
      <c r="C183" s="385"/>
      <c r="D183" s="398"/>
      <c r="E183" s="398"/>
      <c r="F183" s="386"/>
      <c r="G183" s="386"/>
      <c r="H183" s="386"/>
      <c r="I183" s="386"/>
      <c r="J183" s="386"/>
      <c r="K183" s="386"/>
      <c r="L183" s="386"/>
    </row>
    <row r="184" spans="1:12" ht="16.5">
      <c r="A184" s="398"/>
      <c r="B184" s="399"/>
      <c r="C184" s="385"/>
      <c r="D184" s="398"/>
      <c r="E184" s="398"/>
      <c r="F184" s="386"/>
      <c r="G184" s="386"/>
      <c r="H184" s="386"/>
      <c r="I184" s="386"/>
      <c r="J184" s="386"/>
      <c r="K184" s="386"/>
      <c r="L184" s="386"/>
    </row>
    <row r="185" spans="1:12" ht="16.5">
      <c r="A185" s="398"/>
      <c r="B185" s="399"/>
      <c r="C185" s="385"/>
      <c r="D185" s="398"/>
      <c r="E185" s="398"/>
      <c r="F185" s="386"/>
      <c r="G185" s="386"/>
      <c r="H185" s="386"/>
      <c r="I185" s="386"/>
      <c r="J185" s="386"/>
      <c r="K185" s="386"/>
      <c r="L185" s="386"/>
    </row>
    <row r="186" spans="1:12" ht="16.5">
      <c r="A186" s="398"/>
      <c r="B186" s="399"/>
      <c r="C186" s="385"/>
      <c r="D186" s="398"/>
      <c r="E186" s="398"/>
      <c r="F186" s="386"/>
      <c r="G186" s="386"/>
      <c r="H186" s="386"/>
      <c r="I186" s="386"/>
      <c r="J186" s="386"/>
      <c r="K186" s="386"/>
      <c r="L186" s="386"/>
    </row>
    <row r="187" spans="1:12" ht="16.5">
      <c r="A187" s="398"/>
      <c r="B187" s="399"/>
      <c r="C187" s="385"/>
      <c r="D187" s="398"/>
      <c r="E187" s="398"/>
      <c r="F187" s="386"/>
      <c r="G187" s="386"/>
      <c r="H187" s="386"/>
      <c r="I187" s="386"/>
      <c r="J187" s="386"/>
      <c r="K187" s="386"/>
      <c r="L187" s="386"/>
    </row>
    <row r="188" spans="1:12" ht="16.5">
      <c r="A188" s="398"/>
      <c r="B188" s="399"/>
      <c r="C188" s="385"/>
      <c r="D188" s="398"/>
      <c r="E188" s="398"/>
      <c r="F188" s="386"/>
      <c r="G188" s="386"/>
      <c r="H188" s="386"/>
      <c r="I188" s="386"/>
      <c r="J188" s="386"/>
      <c r="K188" s="386"/>
      <c r="L188" s="386"/>
    </row>
    <row r="189" spans="1:12" ht="16.5">
      <c r="A189" s="398"/>
      <c r="B189" s="399"/>
      <c r="C189" s="385"/>
      <c r="D189" s="398"/>
      <c r="E189" s="398"/>
      <c r="F189" s="386"/>
      <c r="G189" s="386"/>
      <c r="H189" s="386"/>
      <c r="I189" s="386"/>
      <c r="J189" s="386"/>
      <c r="K189" s="386"/>
      <c r="L189" s="386"/>
    </row>
    <row r="190" spans="1:12" ht="16.5">
      <c r="A190" s="398"/>
      <c r="B190" s="399"/>
      <c r="C190" s="385"/>
      <c r="D190" s="398"/>
      <c r="E190" s="398"/>
      <c r="F190" s="386"/>
      <c r="G190" s="386"/>
      <c r="H190" s="386"/>
      <c r="I190" s="386"/>
      <c r="J190" s="386"/>
      <c r="K190" s="386"/>
      <c r="L190" s="386"/>
    </row>
    <row r="191" spans="1:12" ht="16.5">
      <c r="A191" s="398"/>
      <c r="B191" s="399"/>
      <c r="C191" s="385"/>
      <c r="D191" s="398"/>
      <c r="E191" s="398"/>
      <c r="F191" s="386"/>
      <c r="G191" s="386"/>
      <c r="H191" s="386"/>
      <c r="I191" s="386"/>
      <c r="J191" s="386"/>
      <c r="K191" s="386"/>
      <c r="L191" s="386"/>
    </row>
    <row r="192" spans="1:12" ht="16.5">
      <c r="A192" s="398"/>
      <c r="B192" s="399"/>
      <c r="C192" s="385"/>
      <c r="D192" s="398"/>
      <c r="E192" s="398"/>
      <c r="F192" s="386"/>
      <c r="G192" s="386"/>
      <c r="H192" s="386"/>
      <c r="I192" s="386"/>
      <c r="J192" s="386"/>
      <c r="K192" s="386"/>
      <c r="L192" s="386"/>
    </row>
    <row r="193" spans="1:12" ht="16.5">
      <c r="A193" s="398"/>
      <c r="B193" s="399"/>
      <c r="C193" s="385"/>
      <c r="D193" s="398"/>
      <c r="E193" s="398"/>
      <c r="F193" s="386"/>
      <c r="G193" s="386"/>
      <c r="H193" s="386"/>
      <c r="I193" s="386"/>
      <c r="J193" s="386"/>
      <c r="K193" s="386"/>
      <c r="L193" s="386"/>
    </row>
    <row r="194" spans="1:12" ht="16.5">
      <c r="A194" s="398"/>
      <c r="B194" s="399"/>
      <c r="C194" s="385"/>
      <c r="D194" s="398"/>
      <c r="E194" s="398"/>
      <c r="F194" s="386"/>
      <c r="G194" s="386"/>
      <c r="H194" s="386"/>
      <c r="I194" s="386"/>
      <c r="J194" s="386"/>
      <c r="K194" s="386"/>
      <c r="L194" s="386"/>
    </row>
    <row r="195" spans="1:12" ht="16.5">
      <c r="A195" s="398"/>
      <c r="B195" s="399"/>
      <c r="C195" s="385"/>
      <c r="D195" s="398"/>
      <c r="E195" s="398"/>
      <c r="F195" s="386"/>
      <c r="G195" s="386"/>
      <c r="H195" s="386"/>
      <c r="I195" s="386"/>
      <c r="J195" s="386"/>
      <c r="K195" s="386"/>
      <c r="L195" s="386"/>
    </row>
    <row r="196" spans="1:12" ht="16.5">
      <c r="A196" s="398"/>
      <c r="B196" s="399"/>
      <c r="C196" s="385"/>
      <c r="D196" s="398"/>
      <c r="E196" s="398"/>
      <c r="F196" s="386"/>
      <c r="G196" s="386"/>
      <c r="H196" s="386"/>
      <c r="I196" s="386"/>
      <c r="J196" s="386"/>
      <c r="K196" s="386"/>
      <c r="L196" s="386"/>
    </row>
    <row r="197" spans="1:12" ht="16.5">
      <c r="A197" s="398"/>
      <c r="B197" s="399"/>
      <c r="C197" s="385"/>
      <c r="D197" s="398"/>
      <c r="E197" s="398"/>
      <c r="F197" s="386"/>
      <c r="G197" s="386"/>
      <c r="H197" s="386"/>
      <c r="I197" s="386"/>
      <c r="J197" s="386"/>
      <c r="K197" s="386"/>
      <c r="L197" s="386"/>
    </row>
    <row r="198" spans="1:12" ht="16.5">
      <c r="A198" s="398"/>
      <c r="B198" s="399"/>
      <c r="C198" s="385"/>
      <c r="D198" s="398"/>
      <c r="E198" s="398"/>
      <c r="F198" s="386"/>
      <c r="G198" s="386"/>
      <c r="H198" s="386"/>
      <c r="I198" s="386"/>
      <c r="J198" s="386"/>
      <c r="K198" s="386"/>
      <c r="L198" s="386"/>
    </row>
    <row r="199" spans="1:12" ht="16.5">
      <c r="A199" s="398"/>
      <c r="B199" s="399"/>
      <c r="C199" s="385"/>
      <c r="D199" s="398"/>
      <c r="E199" s="398"/>
      <c r="F199" s="386"/>
      <c r="G199" s="386"/>
      <c r="H199" s="386"/>
      <c r="I199" s="386"/>
      <c r="J199" s="386"/>
      <c r="K199" s="386"/>
      <c r="L199" s="386"/>
    </row>
    <row r="200" spans="1:12" ht="16.5">
      <c r="A200" s="398"/>
      <c r="B200" s="399"/>
      <c r="C200" s="385"/>
      <c r="D200" s="398"/>
      <c r="E200" s="398"/>
      <c r="F200" s="386"/>
      <c r="G200" s="386"/>
      <c r="H200" s="386"/>
      <c r="I200" s="386"/>
      <c r="J200" s="386"/>
      <c r="K200" s="386"/>
      <c r="L200" s="386"/>
    </row>
    <row r="201" spans="1:12" ht="16.5">
      <c r="A201" s="398"/>
      <c r="B201" s="399"/>
      <c r="C201" s="385"/>
      <c r="D201" s="398"/>
      <c r="E201" s="398"/>
      <c r="F201" s="386"/>
      <c r="G201" s="386"/>
      <c r="H201" s="386"/>
      <c r="I201" s="386"/>
      <c r="J201" s="386"/>
      <c r="K201" s="386"/>
      <c r="L201" s="386"/>
    </row>
    <row r="202" spans="1:12" ht="16.5">
      <c r="A202" s="398"/>
      <c r="B202" s="399"/>
      <c r="C202" s="385"/>
      <c r="D202" s="398"/>
      <c r="E202" s="398"/>
      <c r="F202" s="386"/>
      <c r="G202" s="386"/>
      <c r="H202" s="386"/>
      <c r="I202" s="386"/>
      <c r="J202" s="386"/>
      <c r="K202" s="386"/>
      <c r="L202" s="386"/>
    </row>
    <row r="203" spans="1:12" ht="16.5">
      <c r="A203" s="398"/>
      <c r="B203" s="399"/>
      <c r="C203" s="385"/>
      <c r="D203" s="398"/>
      <c r="E203" s="398"/>
      <c r="F203" s="386"/>
      <c r="G203" s="386"/>
      <c r="H203" s="386"/>
      <c r="I203" s="386"/>
      <c r="J203" s="386"/>
      <c r="K203" s="386"/>
      <c r="L203" s="386"/>
    </row>
    <row r="204" spans="1:12" ht="16.5">
      <c r="A204" s="398"/>
      <c r="B204" s="399"/>
      <c r="C204" s="385"/>
      <c r="D204" s="398"/>
      <c r="E204" s="398"/>
      <c r="F204" s="386"/>
      <c r="G204" s="386"/>
      <c r="H204" s="386"/>
      <c r="I204" s="386"/>
      <c r="J204" s="386"/>
      <c r="K204" s="386"/>
      <c r="L204" s="386"/>
    </row>
    <row r="205" spans="1:12" ht="16.5">
      <c r="A205" s="398"/>
      <c r="B205" s="399"/>
      <c r="C205" s="385"/>
      <c r="D205" s="398"/>
      <c r="E205" s="398"/>
      <c r="F205" s="386"/>
      <c r="G205" s="386"/>
      <c r="H205" s="386"/>
      <c r="I205" s="386"/>
      <c r="J205" s="386"/>
      <c r="K205" s="386"/>
      <c r="L205" s="386"/>
    </row>
    <row r="206" spans="1:12" ht="16.5">
      <c r="A206" s="398"/>
      <c r="B206" s="399"/>
      <c r="C206" s="385"/>
      <c r="D206" s="398"/>
      <c r="E206" s="398"/>
      <c r="F206" s="386"/>
      <c r="G206" s="386"/>
      <c r="H206" s="386"/>
      <c r="I206" s="386"/>
      <c r="J206" s="386"/>
      <c r="K206" s="386"/>
      <c r="L206" s="386"/>
    </row>
    <row r="207" spans="1:12" ht="16.5">
      <c r="A207" s="398"/>
      <c r="B207" s="399"/>
      <c r="C207" s="385"/>
      <c r="D207" s="398"/>
      <c r="E207" s="398"/>
      <c r="F207" s="386"/>
      <c r="G207" s="386"/>
      <c r="H207" s="386"/>
      <c r="I207" s="386"/>
      <c r="J207" s="386"/>
      <c r="K207" s="386"/>
      <c r="L207" s="386"/>
    </row>
    <row r="208" spans="1:12" ht="16.5">
      <c r="A208" s="398"/>
      <c r="B208" s="399"/>
      <c r="C208" s="385"/>
      <c r="D208" s="398"/>
      <c r="E208" s="398"/>
      <c r="F208" s="386"/>
      <c r="G208" s="386"/>
      <c r="H208" s="386"/>
      <c r="I208" s="386"/>
      <c r="J208" s="386"/>
      <c r="K208" s="386"/>
      <c r="L208" s="386"/>
    </row>
    <row r="209" spans="1:12" ht="16.5">
      <c r="A209" s="398"/>
      <c r="B209" s="399"/>
      <c r="C209" s="385"/>
      <c r="D209" s="398"/>
      <c r="E209" s="398"/>
      <c r="F209" s="386"/>
      <c r="G209" s="386"/>
      <c r="H209" s="386"/>
      <c r="I209" s="386"/>
      <c r="J209" s="386"/>
      <c r="K209" s="386"/>
      <c r="L209" s="386"/>
    </row>
    <row r="210" spans="1:12" ht="16.5">
      <c r="A210" s="398"/>
      <c r="B210" s="399"/>
      <c r="C210" s="385"/>
      <c r="D210" s="398"/>
      <c r="E210" s="398"/>
      <c r="F210" s="386"/>
      <c r="G210" s="386"/>
      <c r="H210" s="386"/>
      <c r="I210" s="386"/>
      <c r="J210" s="386"/>
      <c r="K210" s="386"/>
      <c r="L210" s="386"/>
    </row>
    <row r="211" spans="1:12" ht="16.5">
      <c r="A211" s="398"/>
      <c r="B211" s="399"/>
      <c r="C211" s="385"/>
      <c r="D211" s="398"/>
      <c r="E211" s="398"/>
      <c r="F211" s="386"/>
      <c r="G211" s="386"/>
      <c r="H211" s="386"/>
      <c r="I211" s="386"/>
      <c r="J211" s="386"/>
      <c r="K211" s="386"/>
      <c r="L211" s="386"/>
    </row>
    <row r="212" spans="1:12" ht="16.5">
      <c r="A212" s="398"/>
      <c r="B212" s="399"/>
      <c r="C212" s="385"/>
      <c r="D212" s="398"/>
      <c r="E212" s="398"/>
      <c r="F212" s="386"/>
      <c r="G212" s="386"/>
      <c r="H212" s="386"/>
      <c r="I212" s="386"/>
      <c r="J212" s="386"/>
      <c r="K212" s="386"/>
      <c r="L212" s="386"/>
    </row>
    <row r="213" spans="1:12" ht="16.5">
      <c r="A213" s="398"/>
      <c r="B213" s="399"/>
      <c r="C213" s="385"/>
      <c r="D213" s="398"/>
      <c r="E213" s="398"/>
      <c r="F213" s="386"/>
      <c r="G213" s="386"/>
      <c r="H213" s="386"/>
      <c r="I213" s="386"/>
      <c r="J213" s="386"/>
      <c r="K213" s="386"/>
      <c r="L213" s="386"/>
    </row>
    <row r="214" spans="1:12" ht="16.5">
      <c r="A214" s="398"/>
      <c r="B214" s="399"/>
      <c r="C214" s="385"/>
      <c r="D214" s="398"/>
      <c r="E214" s="398"/>
      <c r="F214" s="386"/>
      <c r="G214" s="386"/>
      <c r="H214" s="386"/>
      <c r="I214" s="386"/>
      <c r="J214" s="386"/>
      <c r="K214" s="386"/>
      <c r="L214" s="386"/>
    </row>
    <row r="215" spans="1:12" ht="16.5">
      <c r="A215" s="398"/>
      <c r="B215" s="399"/>
      <c r="C215" s="385"/>
      <c r="D215" s="398"/>
      <c r="E215" s="398"/>
      <c r="F215" s="386"/>
      <c r="G215" s="386"/>
      <c r="H215" s="386"/>
      <c r="I215" s="386"/>
      <c r="J215" s="386"/>
      <c r="K215" s="386"/>
      <c r="L215" s="386"/>
    </row>
    <row r="216" spans="1:12" ht="16.5">
      <c r="A216" s="398"/>
      <c r="B216" s="399"/>
      <c r="C216" s="385"/>
      <c r="D216" s="398"/>
      <c r="E216" s="398"/>
      <c r="F216" s="386"/>
      <c r="G216" s="386"/>
      <c r="H216" s="386"/>
      <c r="I216" s="386"/>
      <c r="J216" s="386"/>
      <c r="K216" s="386"/>
      <c r="L216" s="386"/>
    </row>
    <row r="217" spans="1:12" ht="16.5">
      <c r="A217" s="398"/>
      <c r="B217" s="399"/>
      <c r="C217" s="385"/>
      <c r="D217" s="398"/>
      <c r="E217" s="398"/>
      <c r="F217" s="386"/>
      <c r="G217" s="386"/>
      <c r="H217" s="386"/>
      <c r="I217" s="386"/>
      <c r="J217" s="386"/>
      <c r="K217" s="386"/>
      <c r="L217" s="386"/>
    </row>
    <row r="218" spans="1:12" ht="16.5">
      <c r="A218" s="398"/>
      <c r="B218" s="399"/>
      <c r="C218" s="385"/>
      <c r="D218" s="398"/>
      <c r="E218" s="398"/>
      <c r="F218" s="386"/>
      <c r="G218" s="386"/>
      <c r="H218" s="386"/>
      <c r="I218" s="386"/>
      <c r="J218" s="386"/>
      <c r="K218" s="386"/>
      <c r="L218" s="386"/>
    </row>
    <row r="219" spans="1:12" ht="16.5">
      <c r="A219" s="398"/>
      <c r="B219" s="399"/>
      <c r="C219" s="385"/>
      <c r="D219" s="398"/>
      <c r="E219" s="398"/>
      <c r="F219" s="386"/>
      <c r="G219" s="386"/>
      <c r="H219" s="386"/>
      <c r="I219" s="386"/>
      <c r="J219" s="386"/>
      <c r="K219" s="386"/>
      <c r="L219" s="386"/>
    </row>
    <row r="220" spans="1:12" ht="16.5">
      <c r="A220" s="398"/>
      <c r="B220" s="399"/>
      <c r="C220" s="385"/>
      <c r="D220" s="398"/>
      <c r="E220" s="398"/>
      <c r="F220" s="386"/>
      <c r="G220" s="386"/>
      <c r="H220" s="386"/>
      <c r="I220" s="386"/>
      <c r="J220" s="386"/>
      <c r="K220" s="386"/>
      <c r="L220" s="386"/>
    </row>
    <row r="221" spans="1:12" ht="16.5">
      <c r="A221" s="398"/>
      <c r="B221" s="399"/>
      <c r="C221" s="385"/>
      <c r="D221" s="398"/>
      <c r="E221" s="398"/>
      <c r="F221" s="386"/>
      <c r="G221" s="386"/>
      <c r="H221" s="386"/>
      <c r="I221" s="386"/>
      <c r="J221" s="386"/>
      <c r="K221" s="386"/>
      <c r="L221" s="386"/>
    </row>
    <row r="222" spans="1:12" ht="16.5">
      <c r="A222" s="398"/>
      <c r="B222" s="399"/>
      <c r="C222" s="385"/>
      <c r="D222" s="398"/>
      <c r="E222" s="398"/>
      <c r="F222" s="386"/>
      <c r="G222" s="386"/>
      <c r="H222" s="386"/>
      <c r="I222" s="386"/>
      <c r="J222" s="386"/>
      <c r="K222" s="386"/>
      <c r="L222" s="386"/>
    </row>
    <row r="223" spans="1:12" ht="16.5">
      <c r="A223" s="398"/>
      <c r="B223" s="399"/>
      <c r="C223" s="385"/>
      <c r="D223" s="398"/>
      <c r="E223" s="398"/>
      <c r="F223" s="386"/>
      <c r="G223" s="386"/>
      <c r="H223" s="386"/>
      <c r="I223" s="386"/>
      <c r="J223" s="386"/>
      <c r="K223" s="386"/>
      <c r="L223" s="386"/>
    </row>
    <row r="224" spans="1:12" ht="16.5">
      <c r="A224" s="398"/>
      <c r="B224" s="399"/>
      <c r="C224" s="385"/>
      <c r="D224" s="398"/>
      <c r="E224" s="398"/>
      <c r="F224" s="386"/>
      <c r="G224" s="386"/>
      <c r="H224" s="386"/>
      <c r="I224" s="386"/>
      <c r="J224" s="386"/>
      <c r="K224" s="386"/>
      <c r="L224" s="386"/>
    </row>
    <row r="225" spans="1:12" ht="16.5">
      <c r="A225" s="398"/>
      <c r="B225" s="399"/>
      <c r="C225" s="385"/>
      <c r="D225" s="398"/>
      <c r="E225" s="398"/>
      <c r="F225" s="386"/>
      <c r="G225" s="386"/>
      <c r="H225" s="386"/>
      <c r="I225" s="386"/>
      <c r="J225" s="386"/>
      <c r="K225" s="386"/>
      <c r="L225" s="386"/>
    </row>
    <row r="226" spans="1:12" ht="16.5">
      <c r="A226" s="398"/>
      <c r="B226" s="399"/>
      <c r="C226" s="385"/>
      <c r="D226" s="398"/>
      <c r="E226" s="398"/>
      <c r="F226" s="386"/>
      <c r="G226" s="386"/>
      <c r="H226" s="386"/>
      <c r="I226" s="386"/>
      <c r="J226" s="386"/>
      <c r="K226" s="386"/>
      <c r="L226" s="386"/>
    </row>
    <row r="227" spans="1:12" ht="16.5">
      <c r="A227" s="398"/>
      <c r="B227" s="399"/>
      <c r="C227" s="385"/>
      <c r="D227" s="398"/>
      <c r="E227" s="398"/>
      <c r="F227" s="386"/>
      <c r="G227" s="386"/>
      <c r="H227" s="386"/>
      <c r="I227" s="386"/>
      <c r="J227" s="386"/>
      <c r="K227" s="386"/>
      <c r="L227" s="386"/>
    </row>
    <row r="228" spans="1:12" ht="16.5">
      <c r="A228" s="398"/>
      <c r="B228" s="399"/>
      <c r="C228" s="385"/>
      <c r="D228" s="398"/>
      <c r="E228" s="398"/>
      <c r="F228" s="386"/>
      <c r="G228" s="386"/>
      <c r="H228" s="386"/>
      <c r="I228" s="386"/>
      <c r="J228" s="386"/>
      <c r="K228" s="386"/>
      <c r="L228" s="386"/>
    </row>
    <row r="229" spans="1:12" ht="16.5">
      <c r="A229" s="398"/>
      <c r="B229" s="399"/>
      <c r="C229" s="385"/>
      <c r="D229" s="398"/>
      <c r="E229" s="398"/>
      <c r="F229" s="386"/>
      <c r="G229" s="386"/>
      <c r="H229" s="386"/>
      <c r="I229" s="386"/>
      <c r="J229" s="386"/>
      <c r="K229" s="386"/>
      <c r="L229" s="386"/>
    </row>
    <row r="230" spans="1:12" ht="16.5">
      <c r="A230" s="398"/>
      <c r="B230" s="399"/>
      <c r="C230" s="385"/>
      <c r="D230" s="398"/>
      <c r="E230" s="398"/>
      <c r="F230" s="386"/>
      <c r="G230" s="386"/>
      <c r="H230" s="386"/>
      <c r="I230" s="386"/>
      <c r="J230" s="386"/>
      <c r="K230" s="386"/>
      <c r="L230" s="386"/>
    </row>
    <row r="231" spans="1:12" ht="16.5">
      <c r="A231" s="398"/>
      <c r="B231" s="399"/>
      <c r="C231" s="385"/>
      <c r="D231" s="398"/>
      <c r="E231" s="398"/>
      <c r="F231" s="386"/>
      <c r="G231" s="386"/>
      <c r="H231" s="386"/>
      <c r="I231" s="386"/>
      <c r="J231" s="386"/>
      <c r="K231" s="386"/>
      <c r="L231" s="386"/>
    </row>
    <row r="232" spans="1:12" ht="16.5">
      <c r="A232" s="398"/>
      <c r="B232" s="399"/>
      <c r="C232" s="385"/>
      <c r="D232" s="398"/>
      <c r="E232" s="398"/>
      <c r="F232" s="386"/>
      <c r="G232" s="386"/>
      <c r="H232" s="386"/>
      <c r="I232" s="386"/>
      <c r="J232" s="386"/>
      <c r="K232" s="386"/>
      <c r="L232" s="386"/>
    </row>
    <row r="233" spans="1:12" ht="16.5">
      <c r="A233" s="398"/>
      <c r="B233" s="399"/>
      <c r="C233" s="385"/>
      <c r="D233" s="398"/>
      <c r="E233" s="398"/>
      <c r="F233" s="386"/>
      <c r="G233" s="386"/>
      <c r="H233" s="386"/>
      <c r="I233" s="386"/>
      <c r="J233" s="386"/>
      <c r="K233" s="386"/>
      <c r="L233" s="386"/>
    </row>
    <row r="234" spans="1:12" ht="16.5">
      <c r="A234" s="398"/>
      <c r="B234" s="399"/>
      <c r="C234" s="385"/>
      <c r="D234" s="398"/>
      <c r="E234" s="398"/>
      <c r="F234" s="386"/>
      <c r="G234" s="386"/>
      <c r="H234" s="386"/>
      <c r="I234" s="386"/>
      <c r="J234" s="386"/>
      <c r="K234" s="386"/>
      <c r="L234" s="386"/>
    </row>
    <row r="235" spans="1:12" ht="16.5">
      <c r="A235" s="398"/>
      <c r="B235" s="399"/>
      <c r="C235" s="385"/>
      <c r="D235" s="398"/>
      <c r="E235" s="398"/>
      <c r="F235" s="386"/>
      <c r="G235" s="386"/>
      <c r="H235" s="386"/>
      <c r="I235" s="386"/>
      <c r="J235" s="386"/>
      <c r="K235" s="386"/>
      <c r="L235" s="386"/>
    </row>
    <row r="236" spans="1:12" ht="16.5">
      <c r="A236" s="398"/>
      <c r="B236" s="399"/>
      <c r="C236" s="385"/>
      <c r="D236" s="398"/>
      <c r="E236" s="398"/>
      <c r="F236" s="386"/>
      <c r="G236" s="386"/>
      <c r="H236" s="386"/>
      <c r="I236" s="386"/>
      <c r="J236" s="386"/>
      <c r="K236" s="386"/>
      <c r="L236" s="386"/>
    </row>
    <row r="237" spans="1:12" ht="16.5">
      <c r="A237" s="398"/>
      <c r="B237" s="399"/>
      <c r="C237" s="385"/>
      <c r="D237" s="398"/>
      <c r="E237" s="398"/>
      <c r="F237" s="386"/>
      <c r="G237" s="386"/>
      <c r="H237" s="386"/>
      <c r="I237" s="386"/>
      <c r="J237" s="386"/>
      <c r="K237" s="386"/>
      <c r="L237" s="386"/>
    </row>
    <row r="238" spans="1:12" ht="16.5">
      <c r="A238" s="398"/>
      <c r="B238" s="399"/>
      <c r="C238" s="385"/>
      <c r="D238" s="398"/>
      <c r="E238" s="398"/>
      <c r="F238" s="386"/>
      <c r="G238" s="386"/>
      <c r="H238" s="386"/>
      <c r="I238" s="386"/>
      <c r="J238" s="386"/>
      <c r="K238" s="386"/>
      <c r="L238" s="386"/>
    </row>
    <row r="239" spans="1:12" ht="16.5">
      <c r="A239" s="398"/>
      <c r="B239" s="399"/>
      <c r="C239" s="385"/>
      <c r="D239" s="398"/>
      <c r="E239" s="398"/>
      <c r="F239" s="386"/>
      <c r="G239" s="386"/>
      <c r="H239" s="386"/>
      <c r="I239" s="386"/>
      <c r="J239" s="386"/>
      <c r="K239" s="386"/>
      <c r="L239" s="386"/>
    </row>
    <row r="240" spans="1:12" ht="16.5">
      <c r="A240" s="398"/>
      <c r="B240" s="399"/>
      <c r="C240" s="385"/>
      <c r="D240" s="398"/>
      <c r="E240" s="398"/>
      <c r="F240" s="386"/>
      <c r="G240" s="386"/>
      <c r="H240" s="386"/>
      <c r="I240" s="386"/>
      <c r="J240" s="386"/>
      <c r="K240" s="386"/>
      <c r="L240" s="386"/>
    </row>
    <row r="241" spans="1:12" ht="16.5">
      <c r="A241" s="398"/>
      <c r="B241" s="399"/>
      <c r="C241" s="385"/>
      <c r="D241" s="398"/>
      <c r="E241" s="398"/>
      <c r="F241" s="386"/>
      <c r="G241" s="386"/>
      <c r="H241" s="386"/>
      <c r="I241" s="386"/>
      <c r="J241" s="386"/>
      <c r="K241" s="386"/>
      <c r="L241" s="386"/>
    </row>
    <row r="242" spans="1:12" ht="16.5">
      <c r="A242" s="398"/>
      <c r="B242" s="399"/>
      <c r="C242" s="385"/>
      <c r="D242" s="398"/>
      <c r="E242" s="398"/>
      <c r="F242" s="386"/>
      <c r="G242" s="386"/>
      <c r="H242" s="386"/>
      <c r="I242" s="386"/>
      <c r="J242" s="386"/>
      <c r="K242" s="386"/>
      <c r="L242" s="386"/>
    </row>
    <row r="243" spans="1:12" ht="16.5">
      <c r="A243" s="398"/>
      <c r="B243" s="399"/>
      <c r="C243" s="385"/>
      <c r="D243" s="398"/>
      <c r="E243" s="398"/>
      <c r="F243" s="386"/>
      <c r="G243" s="386"/>
      <c r="H243" s="386"/>
      <c r="I243" s="386"/>
      <c r="J243" s="386"/>
      <c r="K243" s="386"/>
      <c r="L243" s="386"/>
    </row>
    <row r="244" spans="1:12" ht="16.5">
      <c r="A244" s="398"/>
      <c r="B244" s="399"/>
      <c r="C244" s="385"/>
      <c r="D244" s="398"/>
      <c r="E244" s="398"/>
      <c r="F244" s="386"/>
      <c r="G244" s="386"/>
      <c r="H244" s="386"/>
      <c r="I244" s="386"/>
      <c r="J244" s="386"/>
      <c r="K244" s="386"/>
      <c r="L244" s="386"/>
    </row>
    <row r="245" spans="1:12" ht="16.5">
      <c r="A245" s="398"/>
      <c r="B245" s="399"/>
      <c r="C245" s="385"/>
      <c r="D245" s="398"/>
      <c r="E245" s="398"/>
      <c r="F245" s="386"/>
      <c r="G245" s="386"/>
      <c r="H245" s="386"/>
      <c r="I245" s="386"/>
      <c r="J245" s="386"/>
      <c r="K245" s="386"/>
      <c r="L245" s="386"/>
    </row>
    <row r="246" spans="1:12" ht="16.5">
      <c r="A246" s="398"/>
      <c r="B246" s="399"/>
      <c r="C246" s="385"/>
      <c r="D246" s="398"/>
      <c r="E246" s="398"/>
      <c r="F246" s="386"/>
      <c r="G246" s="386"/>
      <c r="H246" s="386"/>
      <c r="I246" s="386"/>
      <c r="J246" s="386"/>
      <c r="K246" s="386"/>
      <c r="L246" s="386"/>
    </row>
    <row r="247" spans="1:12" ht="16.5">
      <c r="A247" s="398"/>
      <c r="B247" s="399"/>
      <c r="C247" s="385"/>
      <c r="D247" s="398"/>
      <c r="E247" s="398"/>
      <c r="F247" s="386"/>
      <c r="G247" s="386"/>
      <c r="H247" s="386"/>
      <c r="I247" s="386"/>
      <c r="J247" s="386"/>
      <c r="K247" s="386"/>
      <c r="L247" s="386"/>
    </row>
  </sheetData>
  <sheetProtection/>
  <mergeCells count="11">
    <mergeCell ref="F5:J5"/>
    <mergeCell ref="K5:K6"/>
    <mergeCell ref="L5:L6"/>
    <mergeCell ref="J1:L1"/>
    <mergeCell ref="B2:L2"/>
    <mergeCell ref="A3:L3"/>
    <mergeCell ref="A5:A6"/>
    <mergeCell ref="B5:B6"/>
    <mergeCell ref="C5:C6"/>
    <mergeCell ref="D5:D6"/>
    <mergeCell ref="E5:E6"/>
  </mergeCells>
  <printOptions horizontalCentered="1"/>
  <pageMargins left="0.6692913385826772" right="0.4724409448818898" top="0.46" bottom="0.5511811023622047" header="0.68" footer="0.11811023622047245"/>
  <pageSetup fitToHeight="0" fitToWidth="1" horizontalDpi="600" verticalDpi="600" orientation="landscape" paperSize="9" scale="67" r:id="rId1"/>
  <headerFooter alignWithMargins="0">
    <oddFooter>&amp;R&amp;"Times New Roman,Regular"&amp;12&amp;P/&amp;N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70" zoomScaleNormal="70" zoomScaleSheetLayoutView="85" zoomScalePageLayoutView="0" workbookViewId="0" topLeftCell="A7">
      <selection activeCell="N9" sqref="N9"/>
    </sheetView>
  </sheetViews>
  <sheetFormatPr defaultColWidth="9.140625" defaultRowHeight="12.75"/>
  <cols>
    <col min="1" max="1" width="6.421875" style="410" customWidth="1"/>
    <col min="2" max="2" width="36.421875" style="399" customWidth="1"/>
    <col min="3" max="3" width="13.140625" style="385" customWidth="1"/>
    <col min="4" max="5" width="14.8515625" style="398" customWidth="1"/>
    <col min="6" max="6" width="14.57421875" style="386" customWidth="1"/>
    <col min="7" max="7" width="13.7109375" style="386" customWidth="1"/>
    <col min="8" max="8" width="14.8515625" style="386" customWidth="1"/>
    <col min="9" max="9" width="14.28125" style="386" customWidth="1"/>
    <col min="10" max="10" width="13.57421875" style="386" customWidth="1"/>
    <col min="11" max="11" width="14.7109375" style="386" customWidth="1"/>
    <col min="12" max="12" width="14.00390625" style="386" customWidth="1"/>
    <col min="13" max="16384" width="9.140625" style="386" customWidth="1"/>
  </cols>
  <sheetData>
    <row r="1" spans="1:11" ht="33" customHeight="1">
      <c r="A1" s="386"/>
      <c r="B1" s="406" t="s">
        <v>359</v>
      </c>
      <c r="D1" s="385"/>
      <c r="E1" s="385"/>
      <c r="H1" s="974" t="s">
        <v>332</v>
      </c>
      <c r="I1" s="974"/>
      <c r="J1" s="965" t="s">
        <v>565</v>
      </c>
      <c r="K1" s="965"/>
    </row>
    <row r="2" spans="1:12" ht="27.75" customHeight="1">
      <c r="A2" s="386"/>
      <c r="B2" s="977" t="str">
        <f>'BM2'!B2:L2</f>
        <v>Huyện Tuần Giáo</v>
      </c>
      <c r="C2" s="977"/>
      <c r="D2" s="977"/>
      <c r="E2" s="977"/>
      <c r="F2" s="977"/>
      <c r="G2" s="977"/>
      <c r="H2" s="977"/>
      <c r="I2" s="977"/>
      <c r="J2" s="977"/>
      <c r="K2" s="977"/>
      <c r="L2" s="977"/>
    </row>
    <row r="3" spans="1:10" ht="24" customHeight="1">
      <c r="A3" s="976" t="s">
        <v>360</v>
      </c>
      <c r="B3" s="976"/>
      <c r="C3" s="976"/>
      <c r="D3" s="976"/>
      <c r="E3" s="976"/>
      <c r="F3" s="976"/>
      <c r="G3" s="976"/>
      <c r="H3" s="976"/>
      <c r="I3" s="976"/>
      <c r="J3" s="976"/>
    </row>
    <row r="4" spans="1:12" ht="46.5" customHeight="1">
      <c r="A4" s="975" t="s">
        <v>0</v>
      </c>
      <c r="B4" s="969" t="s">
        <v>287</v>
      </c>
      <c r="C4" s="969" t="s">
        <v>184</v>
      </c>
      <c r="D4" s="969" t="s">
        <v>323</v>
      </c>
      <c r="E4" s="969" t="s">
        <v>329</v>
      </c>
      <c r="F4" s="971" t="s">
        <v>477</v>
      </c>
      <c r="G4" s="972"/>
      <c r="H4" s="972"/>
      <c r="I4" s="972"/>
      <c r="J4" s="973"/>
      <c r="K4" s="961" t="s">
        <v>478</v>
      </c>
      <c r="L4" s="961" t="s">
        <v>479</v>
      </c>
    </row>
    <row r="5" spans="1:12" s="406" customFormat="1" ht="68.25" customHeight="1">
      <c r="A5" s="975"/>
      <c r="B5" s="970"/>
      <c r="C5" s="970"/>
      <c r="D5" s="970"/>
      <c r="E5" s="970"/>
      <c r="F5" s="387" t="s">
        <v>701</v>
      </c>
      <c r="G5" s="387" t="s">
        <v>702</v>
      </c>
      <c r="H5" s="387" t="s">
        <v>703</v>
      </c>
      <c r="I5" s="387" t="s">
        <v>704</v>
      </c>
      <c r="J5" s="387" t="s">
        <v>705</v>
      </c>
      <c r="K5" s="961"/>
      <c r="L5" s="961"/>
    </row>
    <row r="6" spans="1:12" s="406" customFormat="1" ht="33" customHeight="1">
      <c r="A6" s="573" t="s">
        <v>365</v>
      </c>
      <c r="B6" s="394" t="s">
        <v>663</v>
      </c>
      <c r="C6" s="387" t="s">
        <v>347</v>
      </c>
      <c r="D6" s="661">
        <v>200.8</v>
      </c>
      <c r="E6" s="661">
        <v>358.468</v>
      </c>
      <c r="F6" s="661">
        <v>319.88</v>
      </c>
      <c r="G6" s="661">
        <v>354.88</v>
      </c>
      <c r="H6" s="661">
        <v>394.7</v>
      </c>
      <c r="I6" s="661">
        <v>436</v>
      </c>
      <c r="J6" s="661">
        <v>390</v>
      </c>
      <c r="K6" s="662">
        <f>SUM(F6:J6)/5</f>
        <v>379.092</v>
      </c>
      <c r="L6" s="395" t="s">
        <v>36</v>
      </c>
    </row>
    <row r="7" spans="1:12" ht="33" customHeight="1">
      <c r="A7" s="663" t="s">
        <v>102</v>
      </c>
      <c r="B7" s="664" t="s">
        <v>664</v>
      </c>
      <c r="C7" s="665"/>
      <c r="D7" s="485"/>
      <c r="E7" s="485"/>
      <c r="F7" s="485"/>
      <c r="G7" s="485"/>
      <c r="H7" s="806"/>
      <c r="I7" s="485"/>
      <c r="J7" s="485"/>
      <c r="K7" s="590"/>
      <c r="L7" s="392"/>
    </row>
    <row r="8" spans="1:14" ht="33" customHeight="1">
      <c r="A8" s="663"/>
      <c r="B8" s="667" t="s">
        <v>698</v>
      </c>
      <c r="C8" s="665" t="s">
        <v>699</v>
      </c>
      <c r="D8" s="642"/>
      <c r="E8" s="642"/>
      <c r="F8" s="642"/>
      <c r="G8" s="642">
        <f>140.992389</f>
        <v>140.992389</v>
      </c>
      <c r="H8" s="642">
        <f>141.718163</f>
        <v>141.718163</v>
      </c>
      <c r="I8" s="642">
        <v>97.376169</v>
      </c>
      <c r="J8" s="642">
        <v>142.4476730023673</v>
      </c>
      <c r="K8" s="584">
        <f>SUM(F8:J8)/5</f>
        <v>104.50687880047346</v>
      </c>
      <c r="L8" s="395"/>
      <c r="N8" s="386" t="s">
        <v>700</v>
      </c>
    </row>
    <row r="9" spans="1:12" ht="33" customHeight="1">
      <c r="A9" s="666"/>
      <c r="B9" s="667" t="s">
        <v>658</v>
      </c>
      <c r="C9" s="665" t="s">
        <v>659</v>
      </c>
      <c r="D9" s="642">
        <v>38072</v>
      </c>
      <c r="E9" s="642">
        <v>19200</v>
      </c>
      <c r="F9" s="642">
        <v>18000</v>
      </c>
      <c r="G9" s="642">
        <v>18500</v>
      </c>
      <c r="H9" s="642">
        <v>20000</v>
      </c>
      <c r="I9" s="642">
        <v>20000</v>
      </c>
      <c r="J9" s="642">
        <v>32600</v>
      </c>
      <c r="K9" s="584">
        <f>SUM(F9:J9)/5</f>
        <v>21820</v>
      </c>
      <c r="L9" s="395" t="s">
        <v>36</v>
      </c>
    </row>
    <row r="10" spans="1:12" ht="33" customHeight="1">
      <c r="A10" s="666"/>
      <c r="B10" s="667" t="s">
        <v>667</v>
      </c>
      <c r="C10" s="665" t="s">
        <v>660</v>
      </c>
      <c r="D10" s="642">
        <v>10.7</v>
      </c>
      <c r="E10" s="642">
        <v>20.4</v>
      </c>
      <c r="F10" s="642">
        <v>20</v>
      </c>
      <c r="G10" s="642">
        <v>20</v>
      </c>
      <c r="H10" s="642">
        <v>21</v>
      </c>
      <c r="I10" s="642">
        <v>21</v>
      </c>
      <c r="J10" s="642">
        <v>20</v>
      </c>
      <c r="K10" s="584">
        <f>SUM(F10:J10)/5</f>
        <v>20.4</v>
      </c>
      <c r="L10" s="395" t="s">
        <v>36</v>
      </c>
    </row>
    <row r="11" spans="1:12" ht="33" customHeight="1">
      <c r="A11" s="666"/>
      <c r="B11" s="667" t="s">
        <v>661</v>
      </c>
      <c r="C11" s="665" t="s">
        <v>662</v>
      </c>
      <c r="D11" s="642">
        <v>680.4</v>
      </c>
      <c r="E11" s="642">
        <v>700</v>
      </c>
      <c r="F11" s="642">
        <v>700</v>
      </c>
      <c r="G11" s="642">
        <v>700</v>
      </c>
      <c r="H11" s="642">
        <v>700</v>
      </c>
      <c r="I11" s="642">
        <v>700</v>
      </c>
      <c r="J11" s="642">
        <v>700</v>
      </c>
      <c r="K11" s="584">
        <f>SUM(F11:J11)/5</f>
        <v>700</v>
      </c>
      <c r="L11" s="395" t="s">
        <v>36</v>
      </c>
    </row>
  </sheetData>
  <sheetProtection/>
  <mergeCells count="12">
    <mergeCell ref="A4:A5"/>
    <mergeCell ref="A3:J3"/>
    <mergeCell ref="B4:B5"/>
    <mergeCell ref="C4:C5"/>
    <mergeCell ref="D4:D5"/>
    <mergeCell ref="B2:L2"/>
    <mergeCell ref="E4:E5"/>
    <mergeCell ref="F4:J4"/>
    <mergeCell ref="J1:K1"/>
    <mergeCell ref="H1:I1"/>
    <mergeCell ref="K4:K5"/>
    <mergeCell ref="L4:L5"/>
  </mergeCells>
  <printOptions horizontalCentered="1"/>
  <pageMargins left="0.6692913385826772" right="0.5118110236220472" top="0.35433070866141736" bottom="0.9055118110236221" header="0.3937007874015748" footer="0.5511811023622047"/>
  <pageSetup fitToHeight="0" fitToWidth="1" horizontalDpi="600" verticalDpi="600" orientation="landscape" paperSize="9" scale="73" r:id="rId1"/>
  <headerFooter alignWithMargins="0">
    <oddFooter>&amp;R&amp;"Times New Roman,Regular"&amp;12&amp;P/&amp;N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3"/>
  <sheetViews>
    <sheetView view="pageBreakPreview" zoomScale="70" zoomScaleNormal="70" zoomScaleSheetLayoutView="70" zoomScalePageLayoutView="0" workbookViewId="0" topLeftCell="A7">
      <selection activeCell="J13" sqref="J13"/>
    </sheetView>
  </sheetViews>
  <sheetFormatPr defaultColWidth="9.140625" defaultRowHeight="12.75"/>
  <cols>
    <col min="1" max="1" width="6.421875" style="405" customWidth="1"/>
    <col min="2" max="2" width="39.28125" style="382" customWidth="1"/>
    <col min="3" max="3" width="12.8515625" style="383" customWidth="1"/>
    <col min="4" max="5" width="16.140625" style="405" customWidth="1"/>
    <col min="6" max="6" width="11.57421875" style="381" customWidth="1"/>
    <col min="7" max="7" width="12.8515625" style="381" customWidth="1"/>
    <col min="8" max="8" width="12.57421875" style="381" customWidth="1"/>
    <col min="9" max="9" width="14.421875" style="381" customWidth="1"/>
    <col min="10" max="11" width="14.8515625" style="381" customWidth="1"/>
    <col min="12" max="12" width="20.57421875" style="381" customWidth="1"/>
    <col min="13" max="13" width="9.140625" style="381" customWidth="1"/>
    <col min="14" max="14" width="14.421875" style="381" bestFit="1" customWidth="1"/>
    <col min="15" max="15" width="10.140625" style="381" bestFit="1" customWidth="1"/>
    <col min="16" max="16384" width="9.140625" style="381" customWidth="1"/>
  </cols>
  <sheetData>
    <row r="1" spans="1:12" ht="36.75" customHeight="1">
      <c r="A1" s="381"/>
      <c r="B1" s="388" t="s">
        <v>363</v>
      </c>
      <c r="D1" s="383"/>
      <c r="E1" s="383"/>
      <c r="I1" s="475"/>
      <c r="J1" s="475" t="s">
        <v>332</v>
      </c>
      <c r="K1" s="475"/>
      <c r="L1" s="476" t="s">
        <v>565</v>
      </c>
    </row>
    <row r="2" spans="1:12" ht="21" customHeight="1">
      <c r="A2" s="381"/>
      <c r="B2" s="966" t="str">
        <f>+'BM3'!B2:L2</f>
        <v>Huyện Tuần Giáo</v>
      </c>
      <c r="C2" s="966"/>
      <c r="D2" s="966"/>
      <c r="E2" s="966"/>
      <c r="F2" s="966"/>
      <c r="G2" s="966"/>
      <c r="H2" s="966"/>
      <c r="I2" s="966"/>
      <c r="J2" s="966"/>
      <c r="K2" s="966"/>
      <c r="L2" s="966"/>
    </row>
    <row r="3" spans="1:12" ht="26.25" customHeight="1">
      <c r="A3" s="976" t="s">
        <v>367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</row>
    <row r="4" spans="1:12" ht="38.25" customHeight="1">
      <c r="A4" s="969" t="s">
        <v>0</v>
      </c>
      <c r="B4" s="969" t="s">
        <v>287</v>
      </c>
      <c r="C4" s="969" t="s">
        <v>184</v>
      </c>
      <c r="D4" s="969" t="s">
        <v>344</v>
      </c>
      <c r="E4" s="969" t="s">
        <v>329</v>
      </c>
      <c r="F4" s="978" t="str">
        <f>'BM3'!F4:J4</f>
        <v>THỰC HIỆN TỪNG NĂM</v>
      </c>
      <c r="G4" s="979"/>
      <c r="H4" s="979"/>
      <c r="I4" s="979"/>
      <c r="J4" s="980"/>
      <c r="K4" s="961" t="s">
        <v>478</v>
      </c>
      <c r="L4" s="961" t="s">
        <v>479</v>
      </c>
    </row>
    <row r="5" spans="1:12" s="415" customFormat="1" ht="38.25" customHeight="1">
      <c r="A5" s="970"/>
      <c r="B5" s="970"/>
      <c r="C5" s="970"/>
      <c r="D5" s="970"/>
      <c r="E5" s="970"/>
      <c r="F5" s="387" t="s">
        <v>701</v>
      </c>
      <c r="G5" s="387" t="s">
        <v>702</v>
      </c>
      <c r="H5" s="387" t="s">
        <v>703</v>
      </c>
      <c r="I5" s="387" t="s">
        <v>704</v>
      </c>
      <c r="J5" s="387" t="s">
        <v>705</v>
      </c>
      <c r="K5" s="961"/>
      <c r="L5" s="961"/>
    </row>
    <row r="6" spans="1:22" s="408" customFormat="1" ht="28.5" customHeight="1">
      <c r="A6" s="416" t="s">
        <v>368</v>
      </c>
      <c r="B6" s="417" t="s">
        <v>369</v>
      </c>
      <c r="C6" s="418"/>
      <c r="D6" s="419"/>
      <c r="E6" s="419"/>
      <c r="F6" s="420"/>
      <c r="G6" s="421"/>
      <c r="H6" s="421"/>
      <c r="I6" s="421"/>
      <c r="J6" s="421"/>
      <c r="K6" s="421"/>
      <c r="L6" s="422"/>
      <c r="M6" s="409"/>
      <c r="N6" s="407"/>
      <c r="P6" s="409"/>
      <c r="Q6" s="407"/>
      <c r="S6" s="409"/>
      <c r="T6" s="407"/>
      <c r="V6" s="409"/>
    </row>
    <row r="7" spans="1:20" s="386" customFormat="1" ht="34.5" customHeight="1">
      <c r="A7" s="533"/>
      <c r="B7" s="588" t="s">
        <v>636</v>
      </c>
      <c r="C7" s="589" t="s">
        <v>347</v>
      </c>
      <c r="D7" s="584"/>
      <c r="E7" s="584"/>
      <c r="F7" s="582">
        <v>705.43</v>
      </c>
      <c r="G7" s="582">
        <v>809.308</v>
      </c>
      <c r="H7" s="582">
        <v>919.34</v>
      </c>
      <c r="I7" s="582">
        <v>1054.072</v>
      </c>
      <c r="J7" s="582">
        <v>1120</v>
      </c>
      <c r="K7" s="505">
        <f>(F7+G7+H7+I7+J7)/5</f>
        <v>921.6299999999999</v>
      </c>
      <c r="L7" s="590"/>
      <c r="N7" s="413"/>
      <c r="O7" s="414"/>
      <c r="Q7" s="413"/>
      <c r="R7" s="414"/>
      <c r="T7" s="413"/>
    </row>
    <row r="8" spans="1:22" s="386" customFormat="1" ht="45.75" customHeight="1">
      <c r="A8" s="423"/>
      <c r="B8" s="593" t="s">
        <v>370</v>
      </c>
      <c r="C8" s="424" t="s">
        <v>303</v>
      </c>
      <c r="D8" s="505">
        <v>21.1</v>
      </c>
      <c r="E8" s="505">
        <v>10.24</v>
      </c>
      <c r="F8" s="584">
        <v>6.26</v>
      </c>
      <c r="G8" s="584">
        <f>G7/F7*100-100</f>
        <v>14.725486582651712</v>
      </c>
      <c r="H8" s="584">
        <f>H7/G7*100-100</f>
        <v>13.595812719014262</v>
      </c>
      <c r="I8" s="584">
        <f>I7/H7*100-100</f>
        <v>14.655296190745531</v>
      </c>
      <c r="J8" s="584">
        <f>J7/I7*100-100</f>
        <v>6.254601203712838</v>
      </c>
      <c r="K8" s="584">
        <f>(F8+G8+H8+I8+J8)/5</f>
        <v>11.098239339224868</v>
      </c>
      <c r="L8" s="395" t="s">
        <v>36</v>
      </c>
      <c r="M8" s="413"/>
      <c r="N8" s="594"/>
      <c r="P8" s="413"/>
      <c r="Q8" s="414"/>
      <c r="R8" s="399"/>
      <c r="S8" s="399"/>
      <c r="T8" s="399"/>
      <c r="U8" s="399"/>
      <c r="V8" s="399"/>
    </row>
    <row r="9" spans="1:22" s="408" customFormat="1" ht="24.75" customHeight="1">
      <c r="A9" s="389" t="s">
        <v>371</v>
      </c>
      <c r="B9" s="394" t="s">
        <v>372</v>
      </c>
      <c r="C9" s="387"/>
      <c r="D9" s="595"/>
      <c r="E9" s="595"/>
      <c r="F9" s="595"/>
      <c r="G9" s="595"/>
      <c r="H9" s="595"/>
      <c r="I9" s="595"/>
      <c r="J9" s="595"/>
      <c r="K9" s="595"/>
      <c r="L9" s="389"/>
      <c r="M9" s="406"/>
      <c r="N9" s="406"/>
      <c r="O9" s="406"/>
      <c r="P9" s="406"/>
      <c r="Q9" s="406"/>
      <c r="R9" s="406"/>
      <c r="S9" s="406"/>
      <c r="T9" s="406"/>
      <c r="U9" s="406"/>
      <c r="V9" s="406"/>
    </row>
    <row r="10" spans="1:17" s="386" customFormat="1" ht="37.5" customHeight="1">
      <c r="A10" s="423"/>
      <c r="B10" s="425" t="s">
        <v>373</v>
      </c>
      <c r="C10" s="424" t="s">
        <v>303</v>
      </c>
      <c r="D10" s="565">
        <v>7.6</v>
      </c>
      <c r="E10" s="565"/>
      <c r="F10" s="584">
        <v>7.83</v>
      </c>
      <c r="G10" s="584">
        <v>16.55</v>
      </c>
      <c r="H10" s="584">
        <v>113.43</v>
      </c>
      <c r="I10" s="584">
        <v>12.13</v>
      </c>
      <c r="J10" s="584">
        <v>1.05</v>
      </c>
      <c r="K10" s="584">
        <f>(F10+G10+H10+I10+J10)/5</f>
        <v>30.198</v>
      </c>
      <c r="L10" s="395" t="s">
        <v>36</v>
      </c>
      <c r="M10" s="406"/>
      <c r="N10" s="406"/>
      <c r="O10" s="406"/>
      <c r="P10" s="406"/>
      <c r="Q10" s="406"/>
    </row>
    <row r="11" spans="1:17" s="386" customFormat="1" ht="37.5" customHeight="1">
      <c r="A11" s="423"/>
      <c r="B11" s="425" t="s">
        <v>374</v>
      </c>
      <c r="C11" s="424" t="s">
        <v>303</v>
      </c>
      <c r="D11" s="565">
        <v>18.8</v>
      </c>
      <c r="E11" s="565">
        <v>9.36</v>
      </c>
      <c r="F11" s="584">
        <v>7.91</v>
      </c>
      <c r="G11" s="584">
        <v>17.11</v>
      </c>
      <c r="H11" s="584">
        <v>47.1</v>
      </c>
      <c r="I11" s="584">
        <v>13.22</v>
      </c>
      <c r="J11" s="584">
        <v>6.86</v>
      </c>
      <c r="K11" s="584">
        <f>(F11+G11+H11+I11+J11)/5</f>
        <v>18.44</v>
      </c>
      <c r="L11" s="395" t="s">
        <v>36</v>
      </c>
      <c r="M11" s="406"/>
      <c r="N11" s="406"/>
      <c r="O11" s="406"/>
      <c r="P11" s="406"/>
      <c r="Q11" s="406"/>
    </row>
    <row r="12" spans="1:17" s="386" customFormat="1" ht="37.5" customHeight="1">
      <c r="A12" s="423"/>
      <c r="B12" s="425" t="s">
        <v>375</v>
      </c>
      <c r="C12" s="424" t="s">
        <v>303</v>
      </c>
      <c r="D12" s="565">
        <v>24.4</v>
      </c>
      <c r="E12" s="565">
        <v>18.22</v>
      </c>
      <c r="F12" s="584">
        <v>0.09</v>
      </c>
      <c r="G12" s="584">
        <v>10.12</v>
      </c>
      <c r="H12" s="584">
        <v>29.29</v>
      </c>
      <c r="I12" s="584">
        <v>26.49</v>
      </c>
      <c r="J12" s="584">
        <v>-12.61</v>
      </c>
      <c r="K12" s="584">
        <f>(F12+G12+H12+I12+J12)/5</f>
        <v>10.675999999999998</v>
      </c>
      <c r="L12" s="395" t="s">
        <v>42</v>
      </c>
      <c r="M12" s="406"/>
      <c r="N12" s="406"/>
      <c r="O12" s="406"/>
      <c r="P12" s="406"/>
      <c r="Q12" s="406"/>
    </row>
    <row r="13" spans="1:17" s="386" customFormat="1" ht="37.5" customHeight="1">
      <c r="A13" s="423"/>
      <c r="B13" s="425" t="s">
        <v>376</v>
      </c>
      <c r="C13" s="424" t="s">
        <v>303</v>
      </c>
      <c r="D13" s="565">
        <v>35.2</v>
      </c>
      <c r="E13" s="565">
        <v>14.34</v>
      </c>
      <c r="F13" s="584">
        <v>0.12</v>
      </c>
      <c r="G13" s="584">
        <v>7.56</v>
      </c>
      <c r="H13" s="584">
        <v>26.64</v>
      </c>
      <c r="I13" s="584">
        <v>26.7</v>
      </c>
      <c r="J13" s="584">
        <v>-13.32</v>
      </c>
      <c r="K13" s="584">
        <f>(F13+G13+H13+I13+J13)/5</f>
        <v>9.54</v>
      </c>
      <c r="L13" s="395" t="s">
        <v>42</v>
      </c>
      <c r="M13" s="406"/>
      <c r="N13" s="406"/>
      <c r="O13" s="406"/>
      <c r="P13" s="406"/>
      <c r="Q13" s="406"/>
    </row>
    <row r="14" spans="1:17" s="408" customFormat="1" ht="27.75" customHeight="1">
      <c r="A14" s="389" t="s">
        <v>377</v>
      </c>
      <c r="B14" s="390" t="s">
        <v>378</v>
      </c>
      <c r="C14" s="387"/>
      <c r="D14" s="549"/>
      <c r="E14" s="549"/>
      <c r="F14" s="550"/>
      <c r="G14" s="550"/>
      <c r="H14" s="550"/>
      <c r="I14" s="550"/>
      <c r="J14" s="550"/>
      <c r="K14" s="550"/>
      <c r="L14" s="389"/>
      <c r="N14" s="406"/>
      <c r="O14" s="406"/>
      <c r="P14" s="406"/>
      <c r="Q14" s="406"/>
    </row>
    <row r="15" spans="1:12" s="386" customFormat="1" ht="27" customHeight="1">
      <c r="A15" s="423"/>
      <c r="B15" s="425" t="s">
        <v>379</v>
      </c>
      <c r="C15" s="424" t="s">
        <v>306</v>
      </c>
      <c r="D15" s="596">
        <v>49.2</v>
      </c>
      <c r="E15" s="596">
        <v>50.5</v>
      </c>
      <c r="F15" s="505">
        <f>(43860+470)*100/'BM1-CTTH'!F68</f>
        <v>53.56970224284609</v>
      </c>
      <c r="G15" s="505">
        <f>(45860+470)*100/'BM1-CTTH'!G68</f>
        <v>55.231691761143495</v>
      </c>
      <c r="H15" s="505">
        <f>(47860+470)*100/'BM1-CTTH'!H68</f>
        <v>56.58720494567254</v>
      </c>
      <c r="I15" s="505">
        <f>(49860+470)*100/'BM1-CTTH'!I68</f>
        <v>57.0027408430924</v>
      </c>
      <c r="J15" s="505">
        <f>(53860+470)*100/'BM1-CTTH'!J68</f>
        <v>60.61924686192469</v>
      </c>
      <c r="K15" s="505">
        <f>(F15+G15+H15+I15+J15)/5</f>
        <v>56.60211733093585</v>
      </c>
      <c r="L15" s="395" t="s">
        <v>36</v>
      </c>
    </row>
    <row r="16" spans="1:12" s="386" customFormat="1" ht="37.5" customHeight="1">
      <c r="A16" s="395"/>
      <c r="B16" s="425" t="s">
        <v>298</v>
      </c>
      <c r="C16" s="424" t="s">
        <v>306</v>
      </c>
      <c r="D16" s="596">
        <v>1.2</v>
      </c>
      <c r="E16" s="596">
        <v>1.8</v>
      </c>
      <c r="F16" s="505">
        <f>1015*100/'BM1-CTTH'!F68</f>
        <v>1.2265564578499613</v>
      </c>
      <c r="G16" s="505">
        <f>2015*100/'BM1-CTTH'!G68</f>
        <v>2.4021553830931177</v>
      </c>
      <c r="H16" s="505">
        <f>2015*100/'BM1-CTTH'!H68</f>
        <v>2.3592637692019482</v>
      </c>
      <c r="I16" s="505">
        <f>3015*100/'BM1-CTTH'!I68</f>
        <v>3.4147280675923617</v>
      </c>
      <c r="J16" s="505">
        <f>4015*100/'BM1-CTTH'!J68</f>
        <v>4.479776847977685</v>
      </c>
      <c r="K16" s="505">
        <f>(F16+G16+H16+I16+J16)/5</f>
        <v>2.776496105143015</v>
      </c>
      <c r="L16" s="395" t="s">
        <v>36</v>
      </c>
    </row>
    <row r="17" spans="1:12" s="408" customFormat="1" ht="25.5" customHeight="1">
      <c r="A17" s="389" t="s">
        <v>380</v>
      </c>
      <c r="B17" s="390" t="s">
        <v>381</v>
      </c>
      <c r="C17" s="387"/>
      <c r="D17" s="549"/>
      <c r="E17" s="549"/>
      <c r="F17" s="550"/>
      <c r="G17" s="550"/>
      <c r="H17" s="550"/>
      <c r="I17" s="550"/>
      <c r="J17" s="550"/>
      <c r="K17" s="550"/>
      <c r="L17" s="389"/>
    </row>
    <row r="18" spans="1:12" s="408" customFormat="1" ht="25.5" customHeight="1">
      <c r="A18" s="389"/>
      <c r="B18" s="425" t="s">
        <v>630</v>
      </c>
      <c r="C18" s="597" t="s">
        <v>670</v>
      </c>
      <c r="D18" s="591"/>
      <c r="E18" s="598"/>
      <c r="F18" s="598"/>
      <c r="G18" s="598"/>
      <c r="H18" s="598"/>
      <c r="I18" s="598"/>
      <c r="J18" s="598"/>
      <c r="K18" s="598"/>
      <c r="L18" s="598"/>
    </row>
    <row r="19" spans="1:12" s="408" customFormat="1" ht="25.5" customHeight="1">
      <c r="A19" s="389"/>
      <c r="B19" s="429" t="s">
        <v>624</v>
      </c>
      <c r="C19" s="597" t="s">
        <v>670</v>
      </c>
      <c r="D19" s="591"/>
      <c r="E19" s="598"/>
      <c r="F19" s="599"/>
      <c r="G19" s="599"/>
      <c r="H19" s="599"/>
      <c r="I19" s="599"/>
      <c r="J19" s="599"/>
      <c r="K19" s="599"/>
      <c r="L19" s="598"/>
    </row>
    <row r="20" spans="1:12" s="408" customFormat="1" ht="25.5" customHeight="1">
      <c r="A20" s="389"/>
      <c r="B20" s="425" t="s">
        <v>625</v>
      </c>
      <c r="C20" s="597" t="s">
        <v>670</v>
      </c>
      <c r="D20" s="591"/>
      <c r="E20" s="598"/>
      <c r="F20" s="599"/>
      <c r="G20" s="599"/>
      <c r="H20" s="599"/>
      <c r="I20" s="599"/>
      <c r="J20" s="599"/>
      <c r="K20" s="599"/>
      <c r="L20" s="598"/>
    </row>
    <row r="21" spans="1:12" s="408" customFormat="1" ht="25.5" customHeight="1">
      <c r="A21" s="389"/>
      <c r="B21" s="425" t="s">
        <v>550</v>
      </c>
      <c r="C21" s="597" t="s">
        <v>347</v>
      </c>
      <c r="D21" s="591"/>
      <c r="E21" s="591"/>
      <c r="F21" s="599"/>
      <c r="G21" s="599"/>
      <c r="H21" s="599"/>
      <c r="I21" s="599"/>
      <c r="J21" s="599"/>
      <c r="K21" s="599"/>
      <c r="L21" s="598"/>
    </row>
    <row r="22" spans="1:12" ht="16.5">
      <c r="A22" s="398"/>
      <c r="B22" s="399"/>
      <c r="C22" s="385"/>
      <c r="D22" s="398"/>
      <c r="E22" s="398"/>
      <c r="F22" s="386"/>
      <c r="G22" s="386"/>
      <c r="H22" s="386"/>
      <c r="I22" s="386"/>
      <c r="J22" s="386"/>
      <c r="K22" s="386"/>
      <c r="L22" s="386"/>
    </row>
    <row r="23" spans="1:12" ht="16.5">
      <c r="A23" s="398"/>
      <c r="B23" s="399"/>
      <c r="C23" s="385"/>
      <c r="D23" s="398"/>
      <c r="E23" s="398"/>
      <c r="F23" s="386"/>
      <c r="G23" s="386"/>
      <c r="H23" s="386"/>
      <c r="I23" s="386"/>
      <c r="J23" s="386"/>
      <c r="K23" s="386"/>
      <c r="L23" s="386"/>
    </row>
    <row r="24" spans="1:12" ht="16.5">
      <c r="A24" s="398"/>
      <c r="B24" s="399"/>
      <c r="C24" s="385"/>
      <c r="D24" s="398"/>
      <c r="E24" s="398"/>
      <c r="F24" s="386"/>
      <c r="G24" s="386"/>
      <c r="H24" s="386"/>
      <c r="I24" s="386"/>
      <c r="J24" s="386"/>
      <c r="K24" s="386"/>
      <c r="L24" s="386"/>
    </row>
    <row r="25" spans="1:12" ht="16.5">
      <c r="A25" s="398"/>
      <c r="B25" s="399"/>
      <c r="C25" s="385"/>
      <c r="D25" s="398"/>
      <c r="E25" s="398"/>
      <c r="F25" s="386"/>
      <c r="G25" s="386"/>
      <c r="H25" s="386"/>
      <c r="I25" s="386"/>
      <c r="J25" s="386"/>
      <c r="K25" s="386"/>
      <c r="L25" s="386"/>
    </row>
    <row r="26" spans="1:22" ht="16.5">
      <c r="A26" s="398"/>
      <c r="B26" s="402"/>
      <c r="C26" s="385"/>
      <c r="D26" s="398"/>
      <c r="E26" s="398"/>
      <c r="F26" s="413"/>
      <c r="G26" s="386"/>
      <c r="H26" s="386"/>
      <c r="I26" s="386"/>
      <c r="J26" s="386"/>
      <c r="K26" s="386"/>
      <c r="L26" s="386"/>
      <c r="M26" s="397"/>
      <c r="N26" s="396"/>
      <c r="P26" s="397"/>
      <c r="Q26" s="396"/>
      <c r="S26" s="397"/>
      <c r="T26" s="396"/>
      <c r="V26" s="397"/>
    </row>
    <row r="27" spans="1:12" ht="16.5">
      <c r="A27" s="398"/>
      <c r="B27" s="399"/>
      <c r="C27" s="385"/>
      <c r="D27" s="398"/>
      <c r="E27" s="398"/>
      <c r="F27" s="386"/>
      <c r="G27" s="386"/>
      <c r="H27" s="386"/>
      <c r="I27" s="386"/>
      <c r="J27" s="386"/>
      <c r="K27" s="386"/>
      <c r="L27" s="386"/>
    </row>
    <row r="28" spans="1:12" ht="16.5">
      <c r="A28" s="398"/>
      <c r="B28" s="399"/>
      <c r="C28" s="385"/>
      <c r="D28" s="398"/>
      <c r="E28" s="398"/>
      <c r="F28" s="386"/>
      <c r="G28" s="386"/>
      <c r="H28" s="386"/>
      <c r="I28" s="386"/>
      <c r="J28" s="386"/>
      <c r="K28" s="386"/>
      <c r="L28" s="386"/>
    </row>
    <row r="29" spans="1:12" ht="16.5">
      <c r="A29" s="398"/>
      <c r="B29" s="399"/>
      <c r="C29" s="385"/>
      <c r="D29" s="398"/>
      <c r="E29" s="398"/>
      <c r="F29" s="386"/>
      <c r="G29" s="386"/>
      <c r="H29" s="386"/>
      <c r="I29" s="386"/>
      <c r="J29" s="386"/>
      <c r="K29" s="386"/>
      <c r="L29" s="386"/>
    </row>
    <row r="30" spans="1:12" ht="16.5">
      <c r="A30" s="398"/>
      <c r="B30" s="399"/>
      <c r="C30" s="385"/>
      <c r="D30" s="398"/>
      <c r="E30" s="398"/>
      <c r="F30" s="386"/>
      <c r="G30" s="386"/>
      <c r="H30" s="386"/>
      <c r="I30" s="386"/>
      <c r="J30" s="386"/>
      <c r="K30" s="386"/>
      <c r="L30" s="386"/>
    </row>
    <row r="31" spans="1:12" ht="16.5">
      <c r="A31" s="398"/>
      <c r="B31" s="399"/>
      <c r="C31" s="385"/>
      <c r="D31" s="398"/>
      <c r="E31" s="398"/>
      <c r="F31" s="386"/>
      <c r="G31" s="386"/>
      <c r="H31" s="386"/>
      <c r="I31" s="386"/>
      <c r="J31" s="386"/>
      <c r="K31" s="386"/>
      <c r="L31" s="386"/>
    </row>
    <row r="32" spans="1:12" ht="16.5">
      <c r="A32" s="398"/>
      <c r="B32" s="399"/>
      <c r="C32" s="385"/>
      <c r="D32" s="398"/>
      <c r="E32" s="398"/>
      <c r="F32" s="386"/>
      <c r="G32" s="386"/>
      <c r="H32" s="386"/>
      <c r="I32" s="386"/>
      <c r="J32" s="386"/>
      <c r="K32" s="386"/>
      <c r="L32" s="386"/>
    </row>
    <row r="33" spans="1:12" ht="16.5">
      <c r="A33" s="398"/>
      <c r="B33" s="399"/>
      <c r="C33" s="385"/>
      <c r="D33" s="398"/>
      <c r="E33" s="398"/>
      <c r="F33" s="386"/>
      <c r="G33" s="386"/>
      <c r="H33" s="386"/>
      <c r="I33" s="386"/>
      <c r="J33" s="386"/>
      <c r="K33" s="386"/>
      <c r="L33" s="386"/>
    </row>
    <row r="34" spans="1:12" ht="16.5">
      <c r="A34" s="398"/>
      <c r="B34" s="399"/>
      <c r="C34" s="385"/>
      <c r="D34" s="398"/>
      <c r="E34" s="398"/>
      <c r="F34" s="386"/>
      <c r="G34" s="386"/>
      <c r="H34" s="386"/>
      <c r="I34" s="386"/>
      <c r="J34" s="386"/>
      <c r="K34" s="386"/>
      <c r="L34" s="386"/>
    </row>
    <row r="35" spans="1:12" ht="16.5">
      <c r="A35" s="398"/>
      <c r="B35" s="399"/>
      <c r="C35" s="385"/>
      <c r="D35" s="398"/>
      <c r="E35" s="398"/>
      <c r="F35" s="386"/>
      <c r="G35" s="386"/>
      <c r="H35" s="386"/>
      <c r="I35" s="386"/>
      <c r="J35" s="386"/>
      <c r="K35" s="386"/>
      <c r="L35" s="386"/>
    </row>
    <row r="36" spans="1:12" ht="16.5">
      <c r="A36" s="398"/>
      <c r="B36" s="399"/>
      <c r="C36" s="385"/>
      <c r="D36" s="398"/>
      <c r="E36" s="398"/>
      <c r="F36" s="386"/>
      <c r="G36" s="386"/>
      <c r="H36" s="386"/>
      <c r="I36" s="386"/>
      <c r="J36" s="386"/>
      <c r="K36" s="386"/>
      <c r="L36" s="386"/>
    </row>
    <row r="37" spans="1:12" ht="16.5">
      <c r="A37" s="398"/>
      <c r="B37" s="399"/>
      <c r="C37" s="385"/>
      <c r="D37" s="398"/>
      <c r="E37" s="398"/>
      <c r="F37" s="386"/>
      <c r="G37" s="386"/>
      <c r="H37" s="386"/>
      <c r="I37" s="386"/>
      <c r="J37" s="386"/>
      <c r="K37" s="386"/>
      <c r="L37" s="386"/>
    </row>
    <row r="38" spans="1:12" ht="16.5">
      <c r="A38" s="398"/>
      <c r="B38" s="399"/>
      <c r="C38" s="385"/>
      <c r="D38" s="398"/>
      <c r="E38" s="398"/>
      <c r="F38" s="386"/>
      <c r="G38" s="386"/>
      <c r="H38" s="386"/>
      <c r="I38" s="386"/>
      <c r="J38" s="386"/>
      <c r="K38" s="386"/>
      <c r="L38" s="386"/>
    </row>
    <row r="39" spans="1:12" ht="16.5">
      <c r="A39" s="398"/>
      <c r="B39" s="399"/>
      <c r="C39" s="385"/>
      <c r="D39" s="398"/>
      <c r="E39" s="398"/>
      <c r="F39" s="386"/>
      <c r="G39" s="386"/>
      <c r="H39" s="386"/>
      <c r="I39" s="386"/>
      <c r="J39" s="386"/>
      <c r="K39" s="386"/>
      <c r="L39" s="386"/>
    </row>
    <row r="40" spans="1:12" ht="16.5">
      <c r="A40" s="398"/>
      <c r="B40" s="399"/>
      <c r="C40" s="385"/>
      <c r="D40" s="398"/>
      <c r="E40" s="398"/>
      <c r="F40" s="386"/>
      <c r="G40" s="386"/>
      <c r="H40" s="386"/>
      <c r="I40" s="386"/>
      <c r="J40" s="386"/>
      <c r="K40" s="386"/>
      <c r="L40" s="386"/>
    </row>
    <row r="41" spans="1:12" ht="16.5">
      <c r="A41" s="398"/>
      <c r="B41" s="399"/>
      <c r="C41" s="385"/>
      <c r="D41" s="398"/>
      <c r="E41" s="398"/>
      <c r="F41" s="386"/>
      <c r="G41" s="386"/>
      <c r="H41" s="386"/>
      <c r="I41" s="386"/>
      <c r="J41" s="386"/>
      <c r="K41" s="386"/>
      <c r="L41" s="386"/>
    </row>
    <row r="42" spans="1:12" ht="16.5">
      <c r="A42" s="398"/>
      <c r="B42" s="399"/>
      <c r="C42" s="385"/>
      <c r="D42" s="398"/>
      <c r="E42" s="398"/>
      <c r="F42" s="386"/>
      <c r="G42" s="386"/>
      <c r="H42" s="386"/>
      <c r="I42" s="386"/>
      <c r="J42" s="386"/>
      <c r="K42" s="386"/>
      <c r="L42" s="386"/>
    </row>
    <row r="43" spans="1:12" ht="16.5">
      <c r="A43" s="398"/>
      <c r="B43" s="399"/>
      <c r="C43" s="385"/>
      <c r="D43" s="398"/>
      <c r="E43" s="398"/>
      <c r="F43" s="386"/>
      <c r="G43" s="386"/>
      <c r="H43" s="386"/>
      <c r="I43" s="386"/>
      <c r="J43" s="386"/>
      <c r="K43" s="386"/>
      <c r="L43" s="386"/>
    </row>
    <row r="44" spans="1:12" ht="16.5">
      <c r="A44" s="398"/>
      <c r="B44" s="399"/>
      <c r="C44" s="385"/>
      <c r="D44" s="398"/>
      <c r="E44" s="398"/>
      <c r="F44" s="386"/>
      <c r="G44" s="386"/>
      <c r="H44" s="386"/>
      <c r="I44" s="386"/>
      <c r="J44" s="386"/>
      <c r="K44" s="386"/>
      <c r="L44" s="386"/>
    </row>
    <row r="45" spans="1:12" ht="16.5">
      <c r="A45" s="398"/>
      <c r="B45" s="399"/>
      <c r="C45" s="385"/>
      <c r="D45" s="398"/>
      <c r="E45" s="398"/>
      <c r="F45" s="386"/>
      <c r="G45" s="386"/>
      <c r="H45" s="386"/>
      <c r="I45" s="386"/>
      <c r="J45" s="386"/>
      <c r="K45" s="386"/>
      <c r="L45" s="386"/>
    </row>
    <row r="46" spans="1:12" ht="16.5">
      <c r="A46" s="398"/>
      <c r="B46" s="399"/>
      <c r="C46" s="385"/>
      <c r="D46" s="398"/>
      <c r="E46" s="398"/>
      <c r="F46" s="386"/>
      <c r="G46" s="386"/>
      <c r="H46" s="386"/>
      <c r="I46" s="386"/>
      <c r="J46" s="386"/>
      <c r="K46" s="386"/>
      <c r="L46" s="386"/>
    </row>
    <row r="47" spans="1:12" ht="16.5">
      <c r="A47" s="398"/>
      <c r="B47" s="399"/>
      <c r="C47" s="385"/>
      <c r="D47" s="398"/>
      <c r="E47" s="398"/>
      <c r="F47" s="386"/>
      <c r="G47" s="386"/>
      <c r="H47" s="386"/>
      <c r="I47" s="386"/>
      <c r="J47" s="386"/>
      <c r="K47" s="386"/>
      <c r="L47" s="386"/>
    </row>
    <row r="48" spans="1:12" ht="16.5">
      <c r="A48" s="398"/>
      <c r="B48" s="399"/>
      <c r="C48" s="385"/>
      <c r="D48" s="398"/>
      <c r="E48" s="398"/>
      <c r="F48" s="386"/>
      <c r="G48" s="386"/>
      <c r="H48" s="386"/>
      <c r="I48" s="386"/>
      <c r="J48" s="386"/>
      <c r="K48" s="386"/>
      <c r="L48" s="386"/>
    </row>
    <row r="49" spans="1:12" ht="16.5">
      <c r="A49" s="398"/>
      <c r="B49" s="399"/>
      <c r="C49" s="385"/>
      <c r="D49" s="398"/>
      <c r="E49" s="398"/>
      <c r="F49" s="386"/>
      <c r="G49" s="386"/>
      <c r="H49" s="386"/>
      <c r="I49" s="386"/>
      <c r="J49" s="386"/>
      <c r="K49" s="386"/>
      <c r="L49" s="386"/>
    </row>
    <row r="50" spans="1:12" ht="16.5">
      <c r="A50" s="398"/>
      <c r="B50" s="399"/>
      <c r="C50" s="385"/>
      <c r="D50" s="398"/>
      <c r="E50" s="398"/>
      <c r="F50" s="386"/>
      <c r="G50" s="386"/>
      <c r="H50" s="386"/>
      <c r="I50" s="386"/>
      <c r="J50" s="386"/>
      <c r="K50" s="386"/>
      <c r="L50" s="386"/>
    </row>
    <row r="51" spans="1:12" ht="16.5">
      <c r="A51" s="398"/>
      <c r="B51" s="399"/>
      <c r="C51" s="385"/>
      <c r="D51" s="398"/>
      <c r="E51" s="398"/>
      <c r="F51" s="386"/>
      <c r="G51" s="386"/>
      <c r="H51" s="386"/>
      <c r="I51" s="386"/>
      <c r="J51" s="386"/>
      <c r="K51" s="386"/>
      <c r="L51" s="386"/>
    </row>
    <row r="52" spans="1:12" ht="16.5">
      <c r="A52" s="398"/>
      <c r="B52" s="399"/>
      <c r="C52" s="385"/>
      <c r="D52" s="398"/>
      <c r="E52" s="398"/>
      <c r="F52" s="386"/>
      <c r="G52" s="386"/>
      <c r="H52" s="386"/>
      <c r="I52" s="386"/>
      <c r="J52" s="386"/>
      <c r="K52" s="386"/>
      <c r="L52" s="386"/>
    </row>
    <row r="53" spans="1:12" ht="16.5">
      <c r="A53" s="398"/>
      <c r="B53" s="399"/>
      <c r="C53" s="385"/>
      <c r="D53" s="398"/>
      <c r="E53" s="398"/>
      <c r="F53" s="386"/>
      <c r="G53" s="386"/>
      <c r="H53" s="386"/>
      <c r="I53" s="386"/>
      <c r="J53" s="386"/>
      <c r="K53" s="386"/>
      <c r="L53" s="386"/>
    </row>
    <row r="54" spans="1:12" ht="16.5">
      <c r="A54" s="398"/>
      <c r="B54" s="399"/>
      <c r="C54" s="385"/>
      <c r="D54" s="398"/>
      <c r="E54" s="398"/>
      <c r="F54" s="386"/>
      <c r="G54" s="386"/>
      <c r="H54" s="386"/>
      <c r="I54" s="386"/>
      <c r="J54" s="386"/>
      <c r="K54" s="386"/>
      <c r="L54" s="386"/>
    </row>
    <row r="55" spans="1:12" ht="16.5">
      <c r="A55" s="398"/>
      <c r="B55" s="399"/>
      <c r="C55" s="385"/>
      <c r="D55" s="398"/>
      <c r="E55" s="398"/>
      <c r="F55" s="386"/>
      <c r="G55" s="386"/>
      <c r="H55" s="386"/>
      <c r="I55" s="386"/>
      <c r="J55" s="386"/>
      <c r="K55" s="386"/>
      <c r="L55" s="386"/>
    </row>
    <row r="56" spans="1:12" ht="16.5">
      <c r="A56" s="398"/>
      <c r="B56" s="399"/>
      <c r="C56" s="385"/>
      <c r="D56" s="398"/>
      <c r="E56" s="398"/>
      <c r="F56" s="386"/>
      <c r="G56" s="386"/>
      <c r="H56" s="386"/>
      <c r="I56" s="386"/>
      <c r="J56" s="386"/>
      <c r="K56" s="386"/>
      <c r="L56" s="386"/>
    </row>
    <row r="57" spans="1:12" ht="16.5">
      <c r="A57" s="398"/>
      <c r="B57" s="399"/>
      <c r="C57" s="385"/>
      <c r="D57" s="398"/>
      <c r="E57" s="398"/>
      <c r="F57" s="386"/>
      <c r="G57" s="386"/>
      <c r="H57" s="386"/>
      <c r="I57" s="386"/>
      <c r="J57" s="386"/>
      <c r="K57" s="386"/>
      <c r="L57" s="386"/>
    </row>
    <row r="58" spans="1:12" ht="16.5">
      <c r="A58" s="398"/>
      <c r="B58" s="399"/>
      <c r="C58" s="385"/>
      <c r="D58" s="398"/>
      <c r="E58" s="398"/>
      <c r="F58" s="386"/>
      <c r="G58" s="386"/>
      <c r="H58" s="386"/>
      <c r="I58" s="386"/>
      <c r="J58" s="386"/>
      <c r="K58" s="386"/>
      <c r="L58" s="386"/>
    </row>
    <row r="59" spans="1:12" ht="16.5">
      <c r="A59" s="398"/>
      <c r="B59" s="399"/>
      <c r="C59" s="385"/>
      <c r="D59" s="398"/>
      <c r="E59" s="398"/>
      <c r="F59" s="386"/>
      <c r="G59" s="386"/>
      <c r="H59" s="386"/>
      <c r="I59" s="386"/>
      <c r="J59" s="386"/>
      <c r="K59" s="386"/>
      <c r="L59" s="386"/>
    </row>
    <row r="60" spans="1:12" ht="16.5">
      <c r="A60" s="398"/>
      <c r="B60" s="399"/>
      <c r="C60" s="385"/>
      <c r="D60" s="398"/>
      <c r="E60" s="398"/>
      <c r="F60" s="386"/>
      <c r="G60" s="386"/>
      <c r="H60" s="386"/>
      <c r="I60" s="386"/>
      <c r="J60" s="386"/>
      <c r="K60" s="386"/>
      <c r="L60" s="386"/>
    </row>
    <row r="61" spans="1:12" ht="16.5">
      <c r="A61" s="398"/>
      <c r="B61" s="399"/>
      <c r="C61" s="385"/>
      <c r="D61" s="398"/>
      <c r="E61" s="398"/>
      <c r="F61" s="386"/>
      <c r="G61" s="386"/>
      <c r="H61" s="386"/>
      <c r="I61" s="386"/>
      <c r="J61" s="386"/>
      <c r="K61" s="386"/>
      <c r="L61" s="386"/>
    </row>
    <row r="62" spans="1:12" ht="16.5">
      <c r="A62" s="398"/>
      <c r="B62" s="399"/>
      <c r="C62" s="385"/>
      <c r="D62" s="398"/>
      <c r="E62" s="398"/>
      <c r="F62" s="386"/>
      <c r="G62" s="386"/>
      <c r="H62" s="386"/>
      <c r="I62" s="386"/>
      <c r="J62" s="386"/>
      <c r="K62" s="386"/>
      <c r="L62" s="386"/>
    </row>
    <row r="63" spans="1:12" ht="16.5">
      <c r="A63" s="398"/>
      <c r="B63" s="399"/>
      <c r="C63" s="385"/>
      <c r="D63" s="398"/>
      <c r="E63" s="398"/>
      <c r="F63" s="386"/>
      <c r="G63" s="386"/>
      <c r="H63" s="386"/>
      <c r="I63" s="386"/>
      <c r="J63" s="386"/>
      <c r="K63" s="386"/>
      <c r="L63" s="386"/>
    </row>
    <row r="64" spans="1:12" ht="16.5">
      <c r="A64" s="398"/>
      <c r="B64" s="399"/>
      <c r="C64" s="385"/>
      <c r="D64" s="398"/>
      <c r="E64" s="398"/>
      <c r="F64" s="386"/>
      <c r="G64" s="386"/>
      <c r="H64" s="386"/>
      <c r="I64" s="386"/>
      <c r="J64" s="386"/>
      <c r="K64" s="386"/>
      <c r="L64" s="386"/>
    </row>
    <row r="65" spans="1:12" ht="16.5">
      <c r="A65" s="398"/>
      <c r="B65" s="399"/>
      <c r="C65" s="385"/>
      <c r="D65" s="398"/>
      <c r="E65" s="398"/>
      <c r="F65" s="386"/>
      <c r="G65" s="386"/>
      <c r="H65" s="386"/>
      <c r="I65" s="386"/>
      <c r="J65" s="386"/>
      <c r="K65" s="386"/>
      <c r="L65" s="386"/>
    </row>
    <row r="66" spans="1:12" ht="16.5">
      <c r="A66" s="398"/>
      <c r="B66" s="399"/>
      <c r="C66" s="385"/>
      <c r="D66" s="398"/>
      <c r="E66" s="398"/>
      <c r="F66" s="386"/>
      <c r="G66" s="386"/>
      <c r="H66" s="386"/>
      <c r="I66" s="386"/>
      <c r="J66" s="386"/>
      <c r="K66" s="386"/>
      <c r="L66" s="386"/>
    </row>
    <row r="67" spans="1:12" ht="16.5">
      <c r="A67" s="398"/>
      <c r="B67" s="399"/>
      <c r="C67" s="385"/>
      <c r="D67" s="398"/>
      <c r="E67" s="398"/>
      <c r="F67" s="386"/>
      <c r="G67" s="386"/>
      <c r="H67" s="386"/>
      <c r="I67" s="386"/>
      <c r="J67" s="386"/>
      <c r="K67" s="386"/>
      <c r="L67" s="386"/>
    </row>
    <row r="68" spans="1:12" ht="16.5">
      <c r="A68" s="398"/>
      <c r="B68" s="399"/>
      <c r="C68" s="385"/>
      <c r="D68" s="398"/>
      <c r="E68" s="398"/>
      <c r="F68" s="386"/>
      <c r="G68" s="386"/>
      <c r="H68" s="386"/>
      <c r="I68" s="386"/>
      <c r="J68" s="386"/>
      <c r="K68" s="386"/>
      <c r="L68" s="386"/>
    </row>
    <row r="69" spans="1:12" ht="16.5">
      <c r="A69" s="398"/>
      <c r="B69" s="399"/>
      <c r="C69" s="385"/>
      <c r="D69" s="398"/>
      <c r="E69" s="398"/>
      <c r="F69" s="386"/>
      <c r="G69" s="386"/>
      <c r="H69" s="386"/>
      <c r="I69" s="386"/>
      <c r="J69" s="386"/>
      <c r="K69" s="386"/>
      <c r="L69" s="386"/>
    </row>
    <row r="70" spans="1:12" ht="16.5">
      <c r="A70" s="398"/>
      <c r="B70" s="399"/>
      <c r="C70" s="385"/>
      <c r="D70" s="398"/>
      <c r="E70" s="398"/>
      <c r="F70" s="386"/>
      <c r="G70" s="386"/>
      <c r="H70" s="386"/>
      <c r="I70" s="386"/>
      <c r="J70" s="386"/>
      <c r="K70" s="386"/>
      <c r="L70" s="386"/>
    </row>
    <row r="71" spans="1:12" ht="16.5">
      <c r="A71" s="398"/>
      <c r="B71" s="399"/>
      <c r="C71" s="385"/>
      <c r="D71" s="398"/>
      <c r="E71" s="398"/>
      <c r="F71" s="386"/>
      <c r="G71" s="386"/>
      <c r="H71" s="386"/>
      <c r="I71" s="386"/>
      <c r="J71" s="386"/>
      <c r="K71" s="386"/>
      <c r="L71" s="386"/>
    </row>
    <row r="72" spans="1:12" ht="16.5">
      <c r="A72" s="398"/>
      <c r="B72" s="399"/>
      <c r="C72" s="385"/>
      <c r="D72" s="398"/>
      <c r="E72" s="398"/>
      <c r="F72" s="386"/>
      <c r="G72" s="386"/>
      <c r="H72" s="386"/>
      <c r="I72" s="386"/>
      <c r="J72" s="386"/>
      <c r="K72" s="386"/>
      <c r="L72" s="386"/>
    </row>
    <row r="73" spans="1:12" ht="16.5">
      <c r="A73" s="398"/>
      <c r="B73" s="399"/>
      <c r="C73" s="385"/>
      <c r="D73" s="398"/>
      <c r="E73" s="398"/>
      <c r="F73" s="386"/>
      <c r="G73" s="386"/>
      <c r="H73" s="386"/>
      <c r="I73" s="386"/>
      <c r="J73" s="386"/>
      <c r="K73" s="386"/>
      <c r="L73" s="386"/>
    </row>
    <row r="74" spans="1:12" ht="16.5">
      <c r="A74" s="398"/>
      <c r="B74" s="399"/>
      <c r="C74" s="385"/>
      <c r="D74" s="398"/>
      <c r="E74" s="398"/>
      <c r="F74" s="386"/>
      <c r="G74" s="386"/>
      <c r="H74" s="386"/>
      <c r="I74" s="386"/>
      <c r="J74" s="386"/>
      <c r="K74" s="386"/>
      <c r="L74" s="386"/>
    </row>
    <row r="75" spans="1:12" ht="16.5">
      <c r="A75" s="398"/>
      <c r="B75" s="399"/>
      <c r="C75" s="385"/>
      <c r="D75" s="398"/>
      <c r="E75" s="398"/>
      <c r="F75" s="386"/>
      <c r="G75" s="386"/>
      <c r="H75" s="386"/>
      <c r="I75" s="386"/>
      <c r="J75" s="386"/>
      <c r="K75" s="386"/>
      <c r="L75" s="386"/>
    </row>
    <row r="76" spans="1:12" ht="16.5">
      <c r="A76" s="398"/>
      <c r="B76" s="399"/>
      <c r="C76" s="385"/>
      <c r="D76" s="398"/>
      <c r="E76" s="398"/>
      <c r="F76" s="386"/>
      <c r="G76" s="386"/>
      <c r="H76" s="386"/>
      <c r="I76" s="386"/>
      <c r="J76" s="386"/>
      <c r="K76" s="386"/>
      <c r="L76" s="386"/>
    </row>
    <row r="77" spans="1:12" ht="16.5">
      <c r="A77" s="398"/>
      <c r="B77" s="399"/>
      <c r="C77" s="385"/>
      <c r="D77" s="398"/>
      <c r="E77" s="398"/>
      <c r="F77" s="386"/>
      <c r="G77" s="386"/>
      <c r="H77" s="386"/>
      <c r="I77" s="386"/>
      <c r="J77" s="386"/>
      <c r="K77" s="386"/>
      <c r="L77" s="386"/>
    </row>
    <row r="78" spans="1:12" ht="16.5">
      <c r="A78" s="398"/>
      <c r="B78" s="399"/>
      <c r="C78" s="385"/>
      <c r="D78" s="398"/>
      <c r="E78" s="398"/>
      <c r="F78" s="386"/>
      <c r="G78" s="386"/>
      <c r="H78" s="386"/>
      <c r="I78" s="386"/>
      <c r="J78" s="386"/>
      <c r="K78" s="386"/>
      <c r="L78" s="386"/>
    </row>
    <row r="79" spans="1:12" ht="16.5">
      <c r="A79" s="398"/>
      <c r="B79" s="399"/>
      <c r="C79" s="385"/>
      <c r="D79" s="398"/>
      <c r="E79" s="398"/>
      <c r="F79" s="386"/>
      <c r="G79" s="386"/>
      <c r="H79" s="386"/>
      <c r="I79" s="386"/>
      <c r="J79" s="386"/>
      <c r="K79" s="386"/>
      <c r="L79" s="386"/>
    </row>
    <row r="80" spans="1:12" ht="16.5">
      <c r="A80" s="398"/>
      <c r="B80" s="399"/>
      <c r="C80" s="385"/>
      <c r="D80" s="398"/>
      <c r="E80" s="398"/>
      <c r="F80" s="386"/>
      <c r="G80" s="386"/>
      <c r="H80" s="386"/>
      <c r="I80" s="386"/>
      <c r="J80" s="386"/>
      <c r="K80" s="386"/>
      <c r="L80" s="386"/>
    </row>
    <row r="81" spans="1:12" ht="16.5">
      <c r="A81" s="398"/>
      <c r="B81" s="399"/>
      <c r="C81" s="385"/>
      <c r="D81" s="398"/>
      <c r="E81" s="398"/>
      <c r="F81" s="386"/>
      <c r="G81" s="386"/>
      <c r="H81" s="386"/>
      <c r="I81" s="386"/>
      <c r="J81" s="386"/>
      <c r="K81" s="386"/>
      <c r="L81" s="386"/>
    </row>
    <row r="82" spans="1:12" ht="16.5">
      <c r="A82" s="398"/>
      <c r="B82" s="399"/>
      <c r="C82" s="385"/>
      <c r="D82" s="398"/>
      <c r="E82" s="398"/>
      <c r="F82" s="386"/>
      <c r="G82" s="386"/>
      <c r="H82" s="386"/>
      <c r="I82" s="386"/>
      <c r="J82" s="386"/>
      <c r="K82" s="386"/>
      <c r="L82" s="386"/>
    </row>
    <row r="83" spans="1:12" ht="16.5">
      <c r="A83" s="398"/>
      <c r="B83" s="399"/>
      <c r="C83" s="385"/>
      <c r="D83" s="398"/>
      <c r="E83" s="398"/>
      <c r="F83" s="386"/>
      <c r="G83" s="386"/>
      <c r="H83" s="386"/>
      <c r="I83" s="386"/>
      <c r="J83" s="386"/>
      <c r="K83" s="386"/>
      <c r="L83" s="386"/>
    </row>
    <row r="84" spans="1:12" ht="16.5">
      <c r="A84" s="398"/>
      <c r="B84" s="399"/>
      <c r="C84" s="385"/>
      <c r="D84" s="398"/>
      <c r="E84" s="398"/>
      <c r="F84" s="386"/>
      <c r="G84" s="386"/>
      <c r="H84" s="386"/>
      <c r="I84" s="386"/>
      <c r="J84" s="386"/>
      <c r="K84" s="386"/>
      <c r="L84" s="386"/>
    </row>
    <row r="85" spans="1:12" ht="16.5">
      <c r="A85" s="398"/>
      <c r="B85" s="399"/>
      <c r="C85" s="385"/>
      <c r="D85" s="398"/>
      <c r="E85" s="398"/>
      <c r="F85" s="386"/>
      <c r="G85" s="386"/>
      <c r="H85" s="386"/>
      <c r="I85" s="386"/>
      <c r="J85" s="386"/>
      <c r="K85" s="386"/>
      <c r="L85" s="386"/>
    </row>
    <row r="86" spans="1:12" ht="16.5">
      <c r="A86" s="398"/>
      <c r="B86" s="399"/>
      <c r="C86" s="385"/>
      <c r="D86" s="398"/>
      <c r="E86" s="398"/>
      <c r="F86" s="386"/>
      <c r="G86" s="386"/>
      <c r="H86" s="386"/>
      <c r="I86" s="386"/>
      <c r="J86" s="386"/>
      <c r="K86" s="386"/>
      <c r="L86" s="386"/>
    </row>
    <row r="87" spans="1:12" ht="16.5">
      <c r="A87" s="398"/>
      <c r="B87" s="399"/>
      <c r="C87" s="385"/>
      <c r="D87" s="398"/>
      <c r="E87" s="398"/>
      <c r="F87" s="386"/>
      <c r="G87" s="386"/>
      <c r="H87" s="386"/>
      <c r="I87" s="386"/>
      <c r="J87" s="386"/>
      <c r="K87" s="386"/>
      <c r="L87" s="386"/>
    </row>
    <row r="88" spans="1:12" ht="16.5">
      <c r="A88" s="398"/>
      <c r="B88" s="399"/>
      <c r="C88" s="385"/>
      <c r="D88" s="398"/>
      <c r="E88" s="398"/>
      <c r="F88" s="386"/>
      <c r="G88" s="386"/>
      <c r="H88" s="386"/>
      <c r="I88" s="386"/>
      <c r="J88" s="386"/>
      <c r="K88" s="386"/>
      <c r="L88" s="386"/>
    </row>
    <row r="89" spans="1:12" ht="16.5">
      <c r="A89" s="398"/>
      <c r="B89" s="399"/>
      <c r="C89" s="385"/>
      <c r="D89" s="398"/>
      <c r="E89" s="398"/>
      <c r="F89" s="386"/>
      <c r="G89" s="386"/>
      <c r="H89" s="386"/>
      <c r="I89" s="386"/>
      <c r="J89" s="386"/>
      <c r="K89" s="386"/>
      <c r="L89" s="386"/>
    </row>
    <row r="90" spans="1:12" ht="16.5">
      <c r="A90" s="398"/>
      <c r="B90" s="399"/>
      <c r="C90" s="385"/>
      <c r="D90" s="398"/>
      <c r="E90" s="398"/>
      <c r="F90" s="386"/>
      <c r="G90" s="386"/>
      <c r="H90" s="386"/>
      <c r="I90" s="386"/>
      <c r="J90" s="386"/>
      <c r="K90" s="386"/>
      <c r="L90" s="386"/>
    </row>
    <row r="91" spans="1:12" ht="16.5">
      <c r="A91" s="398"/>
      <c r="B91" s="399"/>
      <c r="C91" s="385"/>
      <c r="D91" s="398"/>
      <c r="E91" s="398"/>
      <c r="F91" s="386"/>
      <c r="G91" s="386"/>
      <c r="H91" s="386"/>
      <c r="I91" s="386"/>
      <c r="J91" s="386"/>
      <c r="K91" s="386"/>
      <c r="L91" s="386"/>
    </row>
    <row r="92" spans="1:12" ht="16.5">
      <c r="A92" s="398"/>
      <c r="B92" s="399"/>
      <c r="C92" s="385"/>
      <c r="D92" s="398"/>
      <c r="E92" s="398"/>
      <c r="F92" s="386"/>
      <c r="G92" s="386"/>
      <c r="H92" s="386"/>
      <c r="I92" s="386"/>
      <c r="J92" s="386"/>
      <c r="K92" s="386"/>
      <c r="L92" s="386"/>
    </row>
    <row r="93" spans="1:12" ht="16.5">
      <c r="A93" s="398"/>
      <c r="B93" s="399"/>
      <c r="C93" s="385"/>
      <c r="D93" s="398"/>
      <c r="E93" s="398"/>
      <c r="F93" s="386"/>
      <c r="G93" s="386"/>
      <c r="H93" s="386"/>
      <c r="I93" s="386"/>
      <c r="J93" s="386"/>
      <c r="K93" s="386"/>
      <c r="L93" s="386"/>
    </row>
    <row r="94" spans="1:12" ht="16.5">
      <c r="A94" s="398"/>
      <c r="B94" s="399"/>
      <c r="C94" s="385"/>
      <c r="D94" s="398"/>
      <c r="E94" s="398"/>
      <c r="F94" s="386"/>
      <c r="G94" s="386"/>
      <c r="H94" s="386"/>
      <c r="I94" s="386"/>
      <c r="J94" s="386"/>
      <c r="K94" s="386"/>
      <c r="L94" s="386"/>
    </row>
    <row r="95" spans="1:12" ht="16.5">
      <c r="A95" s="398"/>
      <c r="B95" s="399"/>
      <c r="C95" s="385"/>
      <c r="D95" s="398"/>
      <c r="E95" s="398"/>
      <c r="F95" s="386"/>
      <c r="G95" s="386"/>
      <c r="H95" s="386"/>
      <c r="I95" s="386"/>
      <c r="J95" s="386"/>
      <c r="K95" s="386"/>
      <c r="L95" s="386"/>
    </row>
    <row r="96" spans="1:12" ht="16.5">
      <c r="A96" s="398"/>
      <c r="B96" s="399"/>
      <c r="C96" s="385"/>
      <c r="D96" s="398"/>
      <c r="E96" s="398"/>
      <c r="F96" s="386"/>
      <c r="G96" s="386"/>
      <c r="H96" s="386"/>
      <c r="I96" s="386"/>
      <c r="J96" s="386"/>
      <c r="K96" s="386"/>
      <c r="L96" s="386"/>
    </row>
    <row r="97" spans="1:12" ht="16.5">
      <c r="A97" s="398"/>
      <c r="B97" s="399"/>
      <c r="C97" s="385"/>
      <c r="D97" s="398"/>
      <c r="E97" s="398"/>
      <c r="F97" s="386"/>
      <c r="G97" s="386"/>
      <c r="H97" s="386"/>
      <c r="I97" s="386"/>
      <c r="J97" s="386"/>
      <c r="K97" s="386"/>
      <c r="L97" s="386"/>
    </row>
    <row r="98" spans="1:12" ht="16.5">
      <c r="A98" s="398"/>
      <c r="B98" s="399"/>
      <c r="C98" s="385"/>
      <c r="D98" s="398"/>
      <c r="E98" s="398"/>
      <c r="F98" s="386"/>
      <c r="G98" s="386"/>
      <c r="H98" s="386"/>
      <c r="I98" s="386"/>
      <c r="J98" s="386"/>
      <c r="K98" s="386"/>
      <c r="L98" s="386"/>
    </row>
    <row r="99" spans="1:12" ht="16.5">
      <c r="A99" s="398"/>
      <c r="B99" s="399"/>
      <c r="C99" s="385"/>
      <c r="D99" s="398"/>
      <c r="E99" s="398"/>
      <c r="F99" s="386"/>
      <c r="G99" s="386"/>
      <c r="H99" s="386"/>
      <c r="I99" s="386"/>
      <c r="J99" s="386"/>
      <c r="K99" s="386"/>
      <c r="L99" s="386"/>
    </row>
    <row r="100" spans="1:12" ht="16.5">
      <c r="A100" s="398"/>
      <c r="B100" s="399"/>
      <c r="C100" s="385"/>
      <c r="D100" s="398"/>
      <c r="E100" s="398"/>
      <c r="F100" s="386"/>
      <c r="G100" s="386"/>
      <c r="H100" s="386"/>
      <c r="I100" s="386"/>
      <c r="J100" s="386"/>
      <c r="K100" s="386"/>
      <c r="L100" s="386"/>
    </row>
    <row r="101" spans="1:12" ht="16.5">
      <c r="A101" s="398"/>
      <c r="B101" s="399"/>
      <c r="C101" s="385"/>
      <c r="D101" s="398"/>
      <c r="E101" s="398"/>
      <c r="F101" s="386"/>
      <c r="G101" s="386"/>
      <c r="H101" s="386"/>
      <c r="I101" s="386"/>
      <c r="J101" s="386"/>
      <c r="K101" s="386"/>
      <c r="L101" s="386"/>
    </row>
    <row r="102" spans="1:12" ht="16.5">
      <c r="A102" s="398"/>
      <c r="B102" s="399"/>
      <c r="C102" s="385"/>
      <c r="D102" s="398"/>
      <c r="E102" s="398"/>
      <c r="F102" s="386"/>
      <c r="G102" s="386"/>
      <c r="H102" s="386"/>
      <c r="I102" s="386"/>
      <c r="J102" s="386"/>
      <c r="K102" s="386"/>
      <c r="L102" s="386"/>
    </row>
    <row r="103" spans="1:12" ht="16.5">
      <c r="A103" s="398"/>
      <c r="B103" s="399"/>
      <c r="C103" s="385"/>
      <c r="D103" s="398"/>
      <c r="E103" s="398"/>
      <c r="F103" s="386"/>
      <c r="G103" s="386"/>
      <c r="H103" s="386"/>
      <c r="I103" s="386"/>
      <c r="J103" s="386"/>
      <c r="K103" s="386"/>
      <c r="L103" s="386"/>
    </row>
    <row r="104" spans="1:12" ht="16.5">
      <c r="A104" s="398"/>
      <c r="B104" s="399"/>
      <c r="C104" s="385"/>
      <c r="D104" s="398"/>
      <c r="E104" s="398"/>
      <c r="F104" s="386"/>
      <c r="G104" s="386"/>
      <c r="H104" s="386"/>
      <c r="I104" s="386"/>
      <c r="J104" s="386"/>
      <c r="K104" s="386"/>
      <c r="L104" s="386"/>
    </row>
    <row r="105" spans="1:12" ht="16.5">
      <c r="A105" s="398"/>
      <c r="B105" s="399"/>
      <c r="C105" s="385"/>
      <c r="D105" s="398"/>
      <c r="E105" s="398"/>
      <c r="F105" s="386"/>
      <c r="G105" s="386"/>
      <c r="H105" s="386"/>
      <c r="I105" s="386"/>
      <c r="J105" s="386"/>
      <c r="K105" s="386"/>
      <c r="L105" s="386"/>
    </row>
    <row r="106" spans="1:12" ht="16.5">
      <c r="A106" s="398"/>
      <c r="B106" s="399"/>
      <c r="C106" s="385"/>
      <c r="D106" s="398"/>
      <c r="E106" s="398"/>
      <c r="F106" s="386"/>
      <c r="G106" s="386"/>
      <c r="H106" s="386"/>
      <c r="I106" s="386"/>
      <c r="J106" s="386"/>
      <c r="K106" s="386"/>
      <c r="L106" s="386"/>
    </row>
    <row r="107" spans="1:12" ht="16.5">
      <c r="A107" s="398"/>
      <c r="B107" s="399"/>
      <c r="C107" s="385"/>
      <c r="D107" s="398"/>
      <c r="E107" s="398"/>
      <c r="F107" s="386"/>
      <c r="G107" s="386"/>
      <c r="H107" s="386"/>
      <c r="I107" s="386"/>
      <c r="J107" s="386"/>
      <c r="K107" s="386"/>
      <c r="L107" s="386"/>
    </row>
    <row r="108" spans="1:12" ht="16.5">
      <c r="A108" s="398"/>
      <c r="B108" s="399"/>
      <c r="C108" s="385"/>
      <c r="D108" s="398"/>
      <c r="E108" s="398"/>
      <c r="F108" s="386"/>
      <c r="G108" s="386"/>
      <c r="H108" s="386"/>
      <c r="I108" s="386"/>
      <c r="J108" s="386"/>
      <c r="K108" s="386"/>
      <c r="L108" s="386"/>
    </row>
    <row r="109" spans="1:12" ht="16.5">
      <c r="A109" s="398"/>
      <c r="B109" s="399"/>
      <c r="C109" s="385"/>
      <c r="D109" s="398"/>
      <c r="E109" s="398"/>
      <c r="F109" s="386"/>
      <c r="G109" s="386"/>
      <c r="H109" s="386"/>
      <c r="I109" s="386"/>
      <c r="J109" s="386"/>
      <c r="K109" s="386"/>
      <c r="L109" s="386"/>
    </row>
    <row r="110" spans="1:12" ht="16.5">
      <c r="A110" s="398"/>
      <c r="B110" s="399"/>
      <c r="C110" s="385"/>
      <c r="D110" s="398"/>
      <c r="E110" s="398"/>
      <c r="F110" s="386"/>
      <c r="G110" s="386"/>
      <c r="H110" s="386"/>
      <c r="I110" s="386"/>
      <c r="J110" s="386"/>
      <c r="K110" s="386"/>
      <c r="L110" s="386"/>
    </row>
    <row r="111" spans="1:12" ht="16.5">
      <c r="A111" s="398"/>
      <c r="B111" s="399"/>
      <c r="C111" s="385"/>
      <c r="D111" s="398"/>
      <c r="E111" s="398"/>
      <c r="F111" s="386"/>
      <c r="G111" s="386"/>
      <c r="H111" s="386"/>
      <c r="I111" s="386"/>
      <c r="J111" s="386"/>
      <c r="K111" s="386"/>
      <c r="L111" s="386"/>
    </row>
    <row r="112" spans="1:12" ht="16.5">
      <c r="A112" s="398"/>
      <c r="B112" s="399"/>
      <c r="C112" s="385"/>
      <c r="D112" s="398"/>
      <c r="E112" s="398"/>
      <c r="F112" s="386"/>
      <c r="G112" s="386"/>
      <c r="H112" s="386"/>
      <c r="I112" s="386"/>
      <c r="J112" s="386"/>
      <c r="K112" s="386"/>
      <c r="L112" s="386"/>
    </row>
    <row r="113" spans="1:12" ht="16.5">
      <c r="A113" s="398"/>
      <c r="B113" s="399"/>
      <c r="C113" s="385"/>
      <c r="D113" s="398"/>
      <c r="E113" s="398"/>
      <c r="F113" s="386"/>
      <c r="G113" s="386"/>
      <c r="H113" s="386"/>
      <c r="I113" s="386"/>
      <c r="J113" s="386"/>
      <c r="K113" s="386"/>
      <c r="L113" s="386"/>
    </row>
    <row r="114" spans="1:12" ht="16.5">
      <c r="A114" s="398"/>
      <c r="B114" s="399"/>
      <c r="C114" s="385"/>
      <c r="D114" s="398"/>
      <c r="E114" s="398"/>
      <c r="F114" s="386"/>
      <c r="G114" s="386"/>
      <c r="H114" s="386"/>
      <c r="I114" s="386"/>
      <c r="J114" s="386"/>
      <c r="K114" s="386"/>
      <c r="L114" s="386"/>
    </row>
    <row r="115" spans="1:12" ht="16.5">
      <c r="A115" s="398"/>
      <c r="B115" s="399"/>
      <c r="C115" s="385"/>
      <c r="D115" s="398"/>
      <c r="E115" s="398"/>
      <c r="F115" s="386"/>
      <c r="G115" s="386"/>
      <c r="H115" s="386"/>
      <c r="I115" s="386"/>
      <c r="J115" s="386"/>
      <c r="K115" s="386"/>
      <c r="L115" s="386"/>
    </row>
    <row r="116" spans="1:12" ht="16.5">
      <c r="A116" s="398"/>
      <c r="B116" s="399"/>
      <c r="C116" s="385"/>
      <c r="D116" s="398"/>
      <c r="E116" s="398"/>
      <c r="F116" s="386"/>
      <c r="G116" s="386"/>
      <c r="H116" s="386"/>
      <c r="I116" s="386"/>
      <c r="J116" s="386"/>
      <c r="K116" s="386"/>
      <c r="L116" s="386"/>
    </row>
    <row r="117" spans="1:12" ht="16.5">
      <c r="A117" s="398"/>
      <c r="B117" s="399"/>
      <c r="C117" s="385"/>
      <c r="D117" s="398"/>
      <c r="E117" s="398"/>
      <c r="F117" s="386"/>
      <c r="G117" s="386"/>
      <c r="H117" s="386"/>
      <c r="I117" s="386"/>
      <c r="J117" s="386"/>
      <c r="K117" s="386"/>
      <c r="L117" s="386"/>
    </row>
    <row r="118" spans="1:12" ht="16.5">
      <c r="A118" s="398"/>
      <c r="B118" s="399"/>
      <c r="C118" s="385"/>
      <c r="D118" s="398"/>
      <c r="E118" s="398"/>
      <c r="F118" s="386"/>
      <c r="G118" s="386"/>
      <c r="H118" s="386"/>
      <c r="I118" s="386"/>
      <c r="J118" s="386"/>
      <c r="K118" s="386"/>
      <c r="L118" s="386"/>
    </row>
    <row r="119" spans="1:12" ht="16.5">
      <c r="A119" s="398"/>
      <c r="B119" s="399"/>
      <c r="C119" s="385"/>
      <c r="D119" s="398"/>
      <c r="E119" s="398"/>
      <c r="F119" s="386"/>
      <c r="G119" s="386"/>
      <c r="H119" s="386"/>
      <c r="I119" s="386"/>
      <c r="J119" s="386"/>
      <c r="K119" s="386"/>
      <c r="L119" s="386"/>
    </row>
    <row r="120" spans="1:12" ht="16.5">
      <c r="A120" s="398"/>
      <c r="B120" s="399"/>
      <c r="C120" s="385"/>
      <c r="D120" s="398"/>
      <c r="E120" s="398"/>
      <c r="F120" s="386"/>
      <c r="G120" s="386"/>
      <c r="H120" s="386"/>
      <c r="I120" s="386"/>
      <c r="J120" s="386"/>
      <c r="K120" s="386"/>
      <c r="L120" s="386"/>
    </row>
    <row r="121" spans="1:12" ht="16.5">
      <c r="A121" s="398"/>
      <c r="B121" s="399"/>
      <c r="C121" s="385"/>
      <c r="D121" s="398"/>
      <c r="E121" s="398"/>
      <c r="F121" s="386"/>
      <c r="G121" s="386"/>
      <c r="H121" s="386"/>
      <c r="I121" s="386"/>
      <c r="J121" s="386"/>
      <c r="K121" s="386"/>
      <c r="L121" s="386"/>
    </row>
    <row r="122" spans="1:12" ht="16.5">
      <c r="A122" s="398"/>
      <c r="B122" s="399"/>
      <c r="C122" s="385"/>
      <c r="D122" s="398"/>
      <c r="E122" s="398"/>
      <c r="F122" s="386"/>
      <c r="G122" s="386"/>
      <c r="H122" s="386"/>
      <c r="I122" s="386"/>
      <c r="J122" s="386"/>
      <c r="K122" s="386"/>
      <c r="L122" s="386"/>
    </row>
    <row r="123" spans="1:12" ht="16.5">
      <c r="A123" s="398"/>
      <c r="B123" s="399"/>
      <c r="C123" s="385"/>
      <c r="D123" s="398"/>
      <c r="E123" s="398"/>
      <c r="F123" s="386"/>
      <c r="G123" s="386"/>
      <c r="H123" s="386"/>
      <c r="I123" s="386"/>
      <c r="J123" s="386"/>
      <c r="K123" s="386"/>
      <c r="L123" s="386"/>
    </row>
    <row r="124" spans="1:12" ht="16.5">
      <c r="A124" s="398"/>
      <c r="B124" s="399"/>
      <c r="C124" s="385"/>
      <c r="D124" s="398"/>
      <c r="E124" s="398"/>
      <c r="F124" s="386"/>
      <c r="G124" s="386"/>
      <c r="H124" s="386"/>
      <c r="I124" s="386"/>
      <c r="J124" s="386"/>
      <c r="K124" s="386"/>
      <c r="L124" s="386"/>
    </row>
    <row r="125" spans="1:12" ht="16.5">
      <c r="A125" s="398"/>
      <c r="B125" s="399"/>
      <c r="C125" s="385"/>
      <c r="D125" s="398"/>
      <c r="E125" s="398"/>
      <c r="F125" s="386"/>
      <c r="G125" s="386"/>
      <c r="H125" s="386"/>
      <c r="I125" s="386"/>
      <c r="J125" s="386"/>
      <c r="K125" s="386"/>
      <c r="L125" s="386"/>
    </row>
    <row r="126" spans="1:12" ht="16.5">
      <c r="A126" s="398"/>
      <c r="B126" s="399"/>
      <c r="C126" s="385"/>
      <c r="D126" s="398"/>
      <c r="E126" s="398"/>
      <c r="F126" s="386"/>
      <c r="G126" s="386"/>
      <c r="H126" s="386"/>
      <c r="I126" s="386"/>
      <c r="J126" s="386"/>
      <c r="K126" s="386"/>
      <c r="L126" s="386"/>
    </row>
    <row r="127" spans="1:12" ht="16.5">
      <c r="A127" s="398"/>
      <c r="B127" s="399"/>
      <c r="C127" s="385"/>
      <c r="D127" s="398"/>
      <c r="E127" s="398"/>
      <c r="F127" s="386"/>
      <c r="G127" s="386"/>
      <c r="H127" s="386"/>
      <c r="I127" s="386"/>
      <c r="J127" s="386"/>
      <c r="K127" s="386"/>
      <c r="L127" s="386"/>
    </row>
    <row r="128" spans="1:12" ht="16.5">
      <c r="A128" s="398"/>
      <c r="B128" s="399"/>
      <c r="C128" s="385"/>
      <c r="D128" s="398"/>
      <c r="E128" s="398"/>
      <c r="F128" s="386"/>
      <c r="G128" s="386"/>
      <c r="H128" s="386"/>
      <c r="I128" s="386"/>
      <c r="J128" s="386"/>
      <c r="K128" s="386"/>
      <c r="L128" s="386"/>
    </row>
    <row r="129" spans="1:12" ht="16.5">
      <c r="A129" s="398"/>
      <c r="B129" s="399"/>
      <c r="C129" s="385"/>
      <c r="D129" s="398"/>
      <c r="E129" s="398"/>
      <c r="F129" s="386"/>
      <c r="G129" s="386"/>
      <c r="H129" s="386"/>
      <c r="I129" s="386"/>
      <c r="J129" s="386"/>
      <c r="K129" s="386"/>
      <c r="L129" s="386"/>
    </row>
    <row r="130" spans="1:12" ht="16.5">
      <c r="A130" s="398"/>
      <c r="B130" s="399"/>
      <c r="C130" s="385"/>
      <c r="D130" s="398"/>
      <c r="E130" s="398"/>
      <c r="F130" s="386"/>
      <c r="G130" s="386"/>
      <c r="H130" s="386"/>
      <c r="I130" s="386"/>
      <c r="J130" s="386"/>
      <c r="K130" s="386"/>
      <c r="L130" s="386"/>
    </row>
    <row r="131" spans="1:12" ht="16.5">
      <c r="A131" s="398"/>
      <c r="B131" s="399"/>
      <c r="C131" s="385"/>
      <c r="D131" s="398"/>
      <c r="E131" s="398"/>
      <c r="F131" s="386"/>
      <c r="G131" s="386"/>
      <c r="H131" s="386"/>
      <c r="I131" s="386"/>
      <c r="J131" s="386"/>
      <c r="K131" s="386"/>
      <c r="L131" s="386"/>
    </row>
    <row r="132" spans="1:12" ht="16.5">
      <c r="A132" s="398"/>
      <c r="B132" s="399"/>
      <c r="C132" s="385"/>
      <c r="D132" s="398"/>
      <c r="E132" s="398"/>
      <c r="F132" s="386"/>
      <c r="G132" s="386"/>
      <c r="H132" s="386"/>
      <c r="I132" s="386"/>
      <c r="J132" s="386"/>
      <c r="K132" s="386"/>
      <c r="L132" s="386"/>
    </row>
    <row r="133" spans="1:12" ht="16.5">
      <c r="A133" s="398"/>
      <c r="B133" s="399"/>
      <c r="C133" s="385"/>
      <c r="D133" s="398"/>
      <c r="E133" s="398"/>
      <c r="F133" s="386"/>
      <c r="G133" s="386"/>
      <c r="H133" s="386"/>
      <c r="I133" s="386"/>
      <c r="J133" s="386"/>
      <c r="K133" s="386"/>
      <c r="L133" s="386"/>
    </row>
    <row r="134" spans="1:12" ht="16.5">
      <c r="A134" s="398"/>
      <c r="B134" s="399"/>
      <c r="C134" s="385"/>
      <c r="D134" s="398"/>
      <c r="E134" s="398"/>
      <c r="F134" s="386"/>
      <c r="G134" s="386"/>
      <c r="H134" s="386"/>
      <c r="I134" s="386"/>
      <c r="J134" s="386"/>
      <c r="K134" s="386"/>
      <c r="L134" s="386"/>
    </row>
    <row r="135" spans="1:12" ht="16.5">
      <c r="A135" s="398"/>
      <c r="B135" s="399"/>
      <c r="C135" s="385"/>
      <c r="D135" s="398"/>
      <c r="E135" s="398"/>
      <c r="F135" s="386"/>
      <c r="G135" s="386"/>
      <c r="H135" s="386"/>
      <c r="I135" s="386"/>
      <c r="J135" s="386"/>
      <c r="K135" s="386"/>
      <c r="L135" s="386"/>
    </row>
    <row r="136" spans="1:12" ht="16.5">
      <c r="A136" s="398"/>
      <c r="B136" s="399"/>
      <c r="C136" s="385"/>
      <c r="D136" s="398"/>
      <c r="E136" s="398"/>
      <c r="F136" s="386"/>
      <c r="G136" s="386"/>
      <c r="H136" s="386"/>
      <c r="I136" s="386"/>
      <c r="J136" s="386"/>
      <c r="K136" s="386"/>
      <c r="L136" s="386"/>
    </row>
    <row r="137" spans="1:12" ht="16.5">
      <c r="A137" s="398"/>
      <c r="B137" s="399"/>
      <c r="C137" s="385"/>
      <c r="D137" s="398"/>
      <c r="E137" s="398"/>
      <c r="F137" s="386"/>
      <c r="G137" s="386"/>
      <c r="H137" s="386"/>
      <c r="I137" s="386"/>
      <c r="J137" s="386"/>
      <c r="K137" s="386"/>
      <c r="L137" s="386"/>
    </row>
    <row r="138" spans="1:12" ht="16.5">
      <c r="A138" s="398"/>
      <c r="B138" s="399"/>
      <c r="C138" s="385"/>
      <c r="D138" s="398"/>
      <c r="E138" s="398"/>
      <c r="F138" s="386"/>
      <c r="G138" s="386"/>
      <c r="H138" s="386"/>
      <c r="I138" s="386"/>
      <c r="J138" s="386"/>
      <c r="K138" s="386"/>
      <c r="L138" s="386"/>
    </row>
    <row r="139" spans="1:12" ht="16.5">
      <c r="A139" s="398"/>
      <c r="B139" s="399"/>
      <c r="C139" s="385"/>
      <c r="D139" s="398"/>
      <c r="E139" s="398"/>
      <c r="F139" s="386"/>
      <c r="G139" s="386"/>
      <c r="H139" s="386"/>
      <c r="I139" s="386"/>
      <c r="J139" s="386"/>
      <c r="K139" s="386"/>
      <c r="L139" s="386"/>
    </row>
    <row r="140" spans="1:12" ht="16.5">
      <c r="A140" s="398"/>
      <c r="B140" s="399"/>
      <c r="C140" s="385"/>
      <c r="D140" s="398"/>
      <c r="E140" s="398"/>
      <c r="F140" s="386"/>
      <c r="G140" s="386"/>
      <c r="H140" s="386"/>
      <c r="I140" s="386"/>
      <c r="J140" s="386"/>
      <c r="K140" s="386"/>
      <c r="L140" s="386"/>
    </row>
    <row r="141" spans="1:12" ht="16.5">
      <c r="A141" s="398"/>
      <c r="B141" s="399"/>
      <c r="C141" s="385"/>
      <c r="D141" s="398"/>
      <c r="E141" s="398"/>
      <c r="F141" s="386"/>
      <c r="G141" s="386"/>
      <c r="H141" s="386"/>
      <c r="I141" s="386"/>
      <c r="J141" s="386"/>
      <c r="K141" s="386"/>
      <c r="L141" s="386"/>
    </row>
    <row r="142" spans="1:12" ht="16.5">
      <c r="A142" s="398"/>
      <c r="B142" s="399"/>
      <c r="C142" s="385"/>
      <c r="D142" s="398"/>
      <c r="E142" s="398"/>
      <c r="F142" s="386"/>
      <c r="G142" s="386"/>
      <c r="H142" s="386"/>
      <c r="I142" s="386"/>
      <c r="J142" s="386"/>
      <c r="K142" s="386"/>
      <c r="L142" s="386"/>
    </row>
    <row r="143" spans="1:12" ht="16.5">
      <c r="A143" s="398"/>
      <c r="B143" s="399"/>
      <c r="C143" s="385"/>
      <c r="D143" s="398"/>
      <c r="E143" s="398"/>
      <c r="F143" s="386"/>
      <c r="G143" s="386"/>
      <c r="H143" s="386"/>
      <c r="I143" s="386"/>
      <c r="J143" s="386"/>
      <c r="K143" s="386"/>
      <c r="L143" s="386"/>
    </row>
    <row r="144" spans="1:12" ht="16.5">
      <c r="A144" s="398"/>
      <c r="B144" s="399"/>
      <c r="C144" s="385"/>
      <c r="D144" s="398"/>
      <c r="E144" s="398"/>
      <c r="F144" s="386"/>
      <c r="G144" s="386"/>
      <c r="H144" s="386"/>
      <c r="I144" s="386"/>
      <c r="J144" s="386"/>
      <c r="K144" s="386"/>
      <c r="L144" s="386"/>
    </row>
    <row r="145" spans="1:12" ht="16.5">
      <c r="A145" s="398"/>
      <c r="B145" s="399"/>
      <c r="C145" s="385"/>
      <c r="D145" s="398"/>
      <c r="E145" s="398"/>
      <c r="F145" s="386"/>
      <c r="G145" s="386"/>
      <c r="H145" s="386"/>
      <c r="I145" s="386"/>
      <c r="J145" s="386"/>
      <c r="K145" s="386"/>
      <c r="L145" s="386"/>
    </row>
    <row r="146" spans="1:12" ht="16.5">
      <c r="A146" s="398"/>
      <c r="B146" s="399"/>
      <c r="C146" s="385"/>
      <c r="D146" s="398"/>
      <c r="E146" s="398"/>
      <c r="F146" s="386"/>
      <c r="G146" s="386"/>
      <c r="H146" s="386"/>
      <c r="I146" s="386"/>
      <c r="J146" s="386"/>
      <c r="K146" s="386"/>
      <c r="L146" s="386"/>
    </row>
    <row r="147" spans="1:12" ht="16.5">
      <c r="A147" s="398"/>
      <c r="B147" s="399"/>
      <c r="C147" s="385"/>
      <c r="D147" s="398"/>
      <c r="E147" s="398"/>
      <c r="F147" s="386"/>
      <c r="G147" s="386"/>
      <c r="H147" s="386"/>
      <c r="I147" s="386"/>
      <c r="J147" s="386"/>
      <c r="K147" s="386"/>
      <c r="L147" s="386"/>
    </row>
    <row r="148" spans="1:12" ht="16.5">
      <c r="A148" s="398"/>
      <c r="B148" s="399"/>
      <c r="C148" s="385"/>
      <c r="D148" s="398"/>
      <c r="E148" s="398"/>
      <c r="F148" s="386"/>
      <c r="G148" s="386"/>
      <c r="H148" s="386"/>
      <c r="I148" s="386"/>
      <c r="J148" s="386"/>
      <c r="K148" s="386"/>
      <c r="L148" s="386"/>
    </row>
    <row r="149" spans="1:12" ht="16.5">
      <c r="A149" s="398"/>
      <c r="B149" s="399"/>
      <c r="C149" s="385"/>
      <c r="D149" s="398"/>
      <c r="E149" s="398"/>
      <c r="F149" s="386"/>
      <c r="G149" s="386"/>
      <c r="H149" s="386"/>
      <c r="I149" s="386"/>
      <c r="J149" s="386"/>
      <c r="K149" s="386"/>
      <c r="L149" s="386"/>
    </row>
    <row r="150" spans="1:12" ht="16.5">
      <c r="A150" s="398"/>
      <c r="B150" s="399"/>
      <c r="C150" s="385"/>
      <c r="D150" s="398"/>
      <c r="E150" s="398"/>
      <c r="F150" s="386"/>
      <c r="G150" s="386"/>
      <c r="H150" s="386"/>
      <c r="I150" s="386"/>
      <c r="J150" s="386"/>
      <c r="K150" s="386"/>
      <c r="L150" s="386"/>
    </row>
    <row r="151" spans="1:12" ht="16.5">
      <c r="A151" s="398"/>
      <c r="B151" s="399"/>
      <c r="C151" s="385"/>
      <c r="D151" s="398"/>
      <c r="E151" s="398"/>
      <c r="F151" s="386"/>
      <c r="G151" s="386"/>
      <c r="H151" s="386"/>
      <c r="I151" s="386"/>
      <c r="J151" s="386"/>
      <c r="K151" s="386"/>
      <c r="L151" s="386"/>
    </row>
    <row r="152" spans="1:12" ht="16.5">
      <c r="A152" s="398"/>
      <c r="B152" s="399"/>
      <c r="C152" s="385"/>
      <c r="D152" s="398"/>
      <c r="E152" s="398"/>
      <c r="F152" s="386"/>
      <c r="G152" s="386"/>
      <c r="H152" s="386"/>
      <c r="I152" s="386"/>
      <c r="J152" s="386"/>
      <c r="K152" s="386"/>
      <c r="L152" s="386"/>
    </row>
    <row r="153" spans="1:12" ht="16.5">
      <c r="A153" s="398"/>
      <c r="B153" s="399"/>
      <c r="C153" s="385"/>
      <c r="D153" s="398"/>
      <c r="E153" s="398"/>
      <c r="F153" s="386"/>
      <c r="G153" s="386"/>
      <c r="H153" s="386"/>
      <c r="I153" s="386"/>
      <c r="J153" s="386"/>
      <c r="K153" s="386"/>
      <c r="L153" s="386"/>
    </row>
    <row r="154" spans="1:12" ht="16.5">
      <c r="A154" s="398"/>
      <c r="B154" s="399"/>
      <c r="C154" s="385"/>
      <c r="D154" s="398"/>
      <c r="E154" s="398"/>
      <c r="F154" s="386"/>
      <c r="G154" s="386"/>
      <c r="H154" s="386"/>
      <c r="I154" s="386"/>
      <c r="J154" s="386"/>
      <c r="K154" s="386"/>
      <c r="L154" s="386"/>
    </row>
    <row r="155" spans="1:12" ht="16.5">
      <c r="A155" s="398"/>
      <c r="B155" s="399"/>
      <c r="C155" s="385"/>
      <c r="D155" s="398"/>
      <c r="E155" s="398"/>
      <c r="F155" s="386"/>
      <c r="G155" s="386"/>
      <c r="H155" s="386"/>
      <c r="I155" s="386"/>
      <c r="J155" s="386"/>
      <c r="K155" s="386"/>
      <c r="L155" s="386"/>
    </row>
    <row r="156" spans="1:12" ht="16.5">
      <c r="A156" s="398"/>
      <c r="B156" s="399"/>
      <c r="C156" s="385"/>
      <c r="D156" s="398"/>
      <c r="E156" s="398"/>
      <c r="F156" s="386"/>
      <c r="G156" s="386"/>
      <c r="H156" s="386"/>
      <c r="I156" s="386"/>
      <c r="J156" s="386"/>
      <c r="K156" s="386"/>
      <c r="L156" s="386"/>
    </row>
    <row r="157" spans="1:12" ht="16.5">
      <c r="A157" s="398"/>
      <c r="B157" s="399"/>
      <c r="C157" s="385"/>
      <c r="D157" s="398"/>
      <c r="E157" s="398"/>
      <c r="F157" s="386"/>
      <c r="G157" s="386"/>
      <c r="H157" s="386"/>
      <c r="I157" s="386"/>
      <c r="J157" s="386"/>
      <c r="K157" s="386"/>
      <c r="L157" s="386"/>
    </row>
    <row r="158" spans="1:12" ht="16.5">
      <c r="A158" s="398"/>
      <c r="B158" s="399"/>
      <c r="C158" s="385"/>
      <c r="D158" s="398"/>
      <c r="E158" s="398"/>
      <c r="F158" s="386"/>
      <c r="G158" s="386"/>
      <c r="H158" s="386"/>
      <c r="I158" s="386"/>
      <c r="J158" s="386"/>
      <c r="K158" s="386"/>
      <c r="L158" s="386"/>
    </row>
    <row r="159" spans="1:12" ht="16.5">
      <c r="A159" s="398"/>
      <c r="B159" s="399"/>
      <c r="C159" s="385"/>
      <c r="D159" s="398"/>
      <c r="E159" s="398"/>
      <c r="F159" s="386"/>
      <c r="G159" s="386"/>
      <c r="H159" s="386"/>
      <c r="I159" s="386"/>
      <c r="J159" s="386"/>
      <c r="K159" s="386"/>
      <c r="L159" s="386"/>
    </row>
    <row r="160" spans="1:12" ht="16.5">
      <c r="A160" s="398"/>
      <c r="B160" s="399"/>
      <c r="C160" s="385"/>
      <c r="D160" s="398"/>
      <c r="E160" s="398"/>
      <c r="F160" s="386"/>
      <c r="G160" s="386"/>
      <c r="H160" s="386"/>
      <c r="I160" s="386"/>
      <c r="J160" s="386"/>
      <c r="K160" s="386"/>
      <c r="L160" s="386"/>
    </row>
    <row r="161" spans="1:12" ht="16.5">
      <c r="A161" s="398"/>
      <c r="B161" s="399"/>
      <c r="C161" s="385"/>
      <c r="D161" s="398"/>
      <c r="E161" s="398"/>
      <c r="F161" s="386"/>
      <c r="G161" s="386"/>
      <c r="H161" s="386"/>
      <c r="I161" s="386"/>
      <c r="J161" s="386"/>
      <c r="K161" s="386"/>
      <c r="L161" s="386"/>
    </row>
    <row r="162" spans="1:12" ht="16.5">
      <c r="A162" s="398"/>
      <c r="B162" s="399"/>
      <c r="C162" s="385"/>
      <c r="D162" s="398"/>
      <c r="E162" s="398"/>
      <c r="F162" s="386"/>
      <c r="G162" s="386"/>
      <c r="H162" s="386"/>
      <c r="I162" s="386"/>
      <c r="J162" s="386"/>
      <c r="K162" s="386"/>
      <c r="L162" s="386"/>
    </row>
    <row r="163" spans="1:12" ht="16.5">
      <c r="A163" s="398"/>
      <c r="B163" s="399"/>
      <c r="C163" s="385"/>
      <c r="D163" s="398"/>
      <c r="E163" s="398"/>
      <c r="F163" s="386"/>
      <c r="G163" s="386"/>
      <c r="H163" s="386"/>
      <c r="I163" s="386"/>
      <c r="J163" s="386"/>
      <c r="K163" s="386"/>
      <c r="L163" s="386"/>
    </row>
    <row r="164" spans="1:12" ht="16.5">
      <c r="A164" s="398"/>
      <c r="B164" s="399"/>
      <c r="C164" s="385"/>
      <c r="D164" s="398"/>
      <c r="E164" s="398"/>
      <c r="F164" s="386"/>
      <c r="G164" s="386"/>
      <c r="H164" s="386"/>
      <c r="I164" s="386"/>
      <c r="J164" s="386"/>
      <c r="K164" s="386"/>
      <c r="L164" s="386"/>
    </row>
    <row r="165" spans="1:12" ht="16.5">
      <c r="A165" s="398"/>
      <c r="B165" s="399"/>
      <c r="C165" s="385"/>
      <c r="D165" s="398"/>
      <c r="E165" s="398"/>
      <c r="F165" s="386"/>
      <c r="G165" s="386"/>
      <c r="H165" s="386"/>
      <c r="I165" s="386"/>
      <c r="J165" s="386"/>
      <c r="K165" s="386"/>
      <c r="L165" s="386"/>
    </row>
    <row r="166" spans="1:12" ht="16.5">
      <c r="A166" s="398"/>
      <c r="B166" s="399"/>
      <c r="C166" s="385"/>
      <c r="D166" s="398"/>
      <c r="E166" s="398"/>
      <c r="F166" s="386"/>
      <c r="G166" s="386"/>
      <c r="H166" s="386"/>
      <c r="I166" s="386"/>
      <c r="J166" s="386"/>
      <c r="K166" s="386"/>
      <c r="L166" s="386"/>
    </row>
    <row r="167" spans="1:12" ht="16.5">
      <c r="A167" s="398"/>
      <c r="B167" s="399"/>
      <c r="C167" s="385"/>
      <c r="D167" s="398"/>
      <c r="E167" s="398"/>
      <c r="F167" s="386"/>
      <c r="G167" s="386"/>
      <c r="H167" s="386"/>
      <c r="I167" s="386"/>
      <c r="J167" s="386"/>
      <c r="K167" s="386"/>
      <c r="L167" s="386"/>
    </row>
    <row r="168" spans="1:12" ht="16.5">
      <c r="A168" s="398"/>
      <c r="B168" s="399"/>
      <c r="C168" s="385"/>
      <c r="D168" s="398"/>
      <c r="E168" s="398"/>
      <c r="F168" s="386"/>
      <c r="G168" s="386"/>
      <c r="H168" s="386"/>
      <c r="I168" s="386"/>
      <c r="J168" s="386"/>
      <c r="K168" s="386"/>
      <c r="L168" s="386"/>
    </row>
    <row r="169" spans="1:12" ht="16.5">
      <c r="A169" s="398"/>
      <c r="B169" s="399"/>
      <c r="C169" s="385"/>
      <c r="D169" s="398"/>
      <c r="E169" s="398"/>
      <c r="F169" s="386"/>
      <c r="G169" s="386"/>
      <c r="H169" s="386"/>
      <c r="I169" s="386"/>
      <c r="J169" s="386"/>
      <c r="K169" s="386"/>
      <c r="L169" s="386"/>
    </row>
    <row r="170" spans="1:12" ht="16.5">
      <c r="A170" s="398"/>
      <c r="B170" s="399"/>
      <c r="C170" s="385"/>
      <c r="D170" s="398"/>
      <c r="E170" s="398"/>
      <c r="F170" s="386"/>
      <c r="G170" s="386"/>
      <c r="H170" s="386"/>
      <c r="I170" s="386"/>
      <c r="J170" s="386"/>
      <c r="K170" s="386"/>
      <c r="L170" s="386"/>
    </row>
    <row r="171" spans="1:12" ht="16.5">
      <c r="A171" s="398"/>
      <c r="B171" s="399"/>
      <c r="C171" s="385"/>
      <c r="D171" s="398"/>
      <c r="E171" s="398"/>
      <c r="F171" s="386"/>
      <c r="G171" s="386"/>
      <c r="H171" s="386"/>
      <c r="I171" s="386"/>
      <c r="J171" s="386"/>
      <c r="K171" s="386"/>
      <c r="L171" s="386"/>
    </row>
    <row r="172" spans="1:12" ht="16.5">
      <c r="A172" s="398"/>
      <c r="B172" s="399"/>
      <c r="C172" s="385"/>
      <c r="D172" s="398"/>
      <c r="E172" s="398"/>
      <c r="F172" s="386"/>
      <c r="G172" s="386"/>
      <c r="H172" s="386"/>
      <c r="I172" s="386"/>
      <c r="J172" s="386"/>
      <c r="K172" s="386"/>
      <c r="L172" s="386"/>
    </row>
    <row r="173" spans="1:12" ht="16.5">
      <c r="A173" s="398"/>
      <c r="B173" s="399"/>
      <c r="C173" s="385"/>
      <c r="D173" s="398"/>
      <c r="E173" s="398"/>
      <c r="F173" s="386"/>
      <c r="G173" s="386"/>
      <c r="H173" s="386"/>
      <c r="I173" s="386"/>
      <c r="J173" s="386"/>
      <c r="K173" s="386"/>
      <c r="L173" s="386"/>
    </row>
    <row r="174" spans="1:12" ht="16.5">
      <c r="A174" s="398"/>
      <c r="B174" s="399"/>
      <c r="C174" s="385"/>
      <c r="D174" s="398"/>
      <c r="E174" s="398"/>
      <c r="F174" s="386"/>
      <c r="G174" s="386"/>
      <c r="H174" s="386"/>
      <c r="I174" s="386"/>
      <c r="J174" s="386"/>
      <c r="K174" s="386"/>
      <c r="L174" s="386"/>
    </row>
    <row r="175" spans="1:12" ht="16.5">
      <c r="A175" s="398"/>
      <c r="B175" s="399"/>
      <c r="C175" s="385"/>
      <c r="D175" s="398"/>
      <c r="E175" s="398"/>
      <c r="F175" s="386"/>
      <c r="G175" s="386"/>
      <c r="H175" s="386"/>
      <c r="I175" s="386"/>
      <c r="J175" s="386"/>
      <c r="K175" s="386"/>
      <c r="L175" s="386"/>
    </row>
    <row r="176" spans="1:12" ht="16.5">
      <c r="A176" s="398"/>
      <c r="B176" s="399"/>
      <c r="C176" s="385"/>
      <c r="D176" s="398"/>
      <c r="E176" s="398"/>
      <c r="F176" s="386"/>
      <c r="G176" s="386"/>
      <c r="H176" s="386"/>
      <c r="I176" s="386"/>
      <c r="J176" s="386"/>
      <c r="K176" s="386"/>
      <c r="L176" s="386"/>
    </row>
    <row r="177" spans="1:12" ht="16.5">
      <c r="A177" s="398"/>
      <c r="B177" s="399"/>
      <c r="C177" s="385"/>
      <c r="D177" s="398"/>
      <c r="E177" s="398"/>
      <c r="F177" s="386"/>
      <c r="G177" s="386"/>
      <c r="H177" s="386"/>
      <c r="I177" s="386"/>
      <c r="J177" s="386"/>
      <c r="K177" s="386"/>
      <c r="L177" s="386"/>
    </row>
    <row r="178" spans="1:12" ht="16.5">
      <c r="A178" s="398"/>
      <c r="B178" s="399"/>
      <c r="C178" s="385"/>
      <c r="D178" s="398"/>
      <c r="E178" s="398"/>
      <c r="F178" s="386"/>
      <c r="G178" s="386"/>
      <c r="H178" s="386"/>
      <c r="I178" s="386"/>
      <c r="J178" s="386"/>
      <c r="K178" s="386"/>
      <c r="L178" s="386"/>
    </row>
    <row r="179" spans="1:12" ht="16.5">
      <c r="A179" s="398"/>
      <c r="B179" s="399"/>
      <c r="C179" s="385"/>
      <c r="D179" s="398"/>
      <c r="E179" s="398"/>
      <c r="F179" s="386"/>
      <c r="G179" s="386"/>
      <c r="H179" s="386"/>
      <c r="I179" s="386"/>
      <c r="J179" s="386"/>
      <c r="K179" s="386"/>
      <c r="L179" s="386"/>
    </row>
    <row r="180" spans="1:12" ht="16.5">
      <c r="A180" s="398"/>
      <c r="B180" s="399"/>
      <c r="C180" s="385"/>
      <c r="D180" s="398"/>
      <c r="E180" s="398"/>
      <c r="F180" s="386"/>
      <c r="G180" s="386"/>
      <c r="H180" s="386"/>
      <c r="I180" s="386"/>
      <c r="J180" s="386"/>
      <c r="K180" s="386"/>
      <c r="L180" s="386"/>
    </row>
    <row r="181" spans="1:12" ht="16.5">
      <c r="A181" s="398"/>
      <c r="B181" s="399"/>
      <c r="C181" s="385"/>
      <c r="D181" s="398"/>
      <c r="E181" s="398"/>
      <c r="F181" s="386"/>
      <c r="G181" s="386"/>
      <c r="H181" s="386"/>
      <c r="I181" s="386"/>
      <c r="J181" s="386"/>
      <c r="K181" s="386"/>
      <c r="L181" s="386"/>
    </row>
    <row r="182" spans="1:12" ht="16.5">
      <c r="A182" s="398"/>
      <c r="B182" s="399"/>
      <c r="C182" s="385"/>
      <c r="D182" s="398"/>
      <c r="E182" s="398"/>
      <c r="F182" s="386"/>
      <c r="G182" s="386"/>
      <c r="H182" s="386"/>
      <c r="I182" s="386"/>
      <c r="J182" s="386"/>
      <c r="K182" s="386"/>
      <c r="L182" s="386"/>
    </row>
    <row r="183" spans="1:12" ht="16.5">
      <c r="A183" s="398"/>
      <c r="B183" s="399"/>
      <c r="C183" s="385"/>
      <c r="D183" s="398"/>
      <c r="E183" s="398"/>
      <c r="F183" s="386"/>
      <c r="G183" s="386"/>
      <c r="H183" s="386"/>
      <c r="I183" s="386"/>
      <c r="J183" s="386"/>
      <c r="K183" s="386"/>
      <c r="L183" s="386"/>
    </row>
    <row r="184" spans="1:12" ht="16.5">
      <c r="A184" s="398"/>
      <c r="B184" s="399"/>
      <c r="C184" s="385"/>
      <c r="D184" s="398"/>
      <c r="E184" s="398"/>
      <c r="F184" s="386"/>
      <c r="G184" s="386"/>
      <c r="H184" s="386"/>
      <c r="I184" s="386"/>
      <c r="J184" s="386"/>
      <c r="K184" s="386"/>
      <c r="L184" s="386"/>
    </row>
    <row r="185" spans="1:12" ht="16.5">
      <c r="A185" s="398"/>
      <c r="B185" s="399"/>
      <c r="C185" s="385"/>
      <c r="D185" s="398"/>
      <c r="E185" s="398"/>
      <c r="F185" s="386"/>
      <c r="G185" s="386"/>
      <c r="H185" s="386"/>
      <c r="I185" s="386"/>
      <c r="J185" s="386"/>
      <c r="K185" s="386"/>
      <c r="L185" s="386"/>
    </row>
    <row r="186" spans="1:12" ht="16.5">
      <c r="A186" s="398"/>
      <c r="B186" s="399"/>
      <c r="C186" s="385"/>
      <c r="D186" s="398"/>
      <c r="E186" s="398"/>
      <c r="F186" s="386"/>
      <c r="G186" s="386"/>
      <c r="H186" s="386"/>
      <c r="I186" s="386"/>
      <c r="J186" s="386"/>
      <c r="K186" s="386"/>
      <c r="L186" s="386"/>
    </row>
    <row r="187" spans="1:12" ht="16.5">
      <c r="A187" s="398"/>
      <c r="B187" s="399"/>
      <c r="C187" s="385"/>
      <c r="D187" s="398"/>
      <c r="E187" s="398"/>
      <c r="F187" s="386"/>
      <c r="G187" s="386"/>
      <c r="H187" s="386"/>
      <c r="I187" s="386"/>
      <c r="J187" s="386"/>
      <c r="K187" s="386"/>
      <c r="L187" s="386"/>
    </row>
    <row r="188" spans="1:12" ht="16.5">
      <c r="A188" s="398"/>
      <c r="B188" s="399"/>
      <c r="C188" s="385"/>
      <c r="D188" s="398"/>
      <c r="E188" s="398"/>
      <c r="F188" s="386"/>
      <c r="G188" s="386"/>
      <c r="H188" s="386"/>
      <c r="I188" s="386"/>
      <c r="J188" s="386"/>
      <c r="K188" s="386"/>
      <c r="L188" s="386"/>
    </row>
    <row r="189" spans="1:12" ht="16.5">
      <c r="A189" s="398"/>
      <c r="B189" s="399"/>
      <c r="C189" s="385"/>
      <c r="D189" s="398"/>
      <c r="E189" s="398"/>
      <c r="F189" s="386"/>
      <c r="G189" s="386"/>
      <c r="H189" s="386"/>
      <c r="I189" s="386"/>
      <c r="J189" s="386"/>
      <c r="K189" s="386"/>
      <c r="L189" s="386"/>
    </row>
    <row r="190" spans="1:12" ht="16.5">
      <c r="A190" s="398"/>
      <c r="B190" s="399"/>
      <c r="C190" s="385"/>
      <c r="D190" s="398"/>
      <c r="E190" s="398"/>
      <c r="F190" s="386"/>
      <c r="G190" s="386"/>
      <c r="H190" s="386"/>
      <c r="I190" s="386"/>
      <c r="J190" s="386"/>
      <c r="K190" s="386"/>
      <c r="L190" s="386"/>
    </row>
    <row r="191" spans="1:12" ht="16.5">
      <c r="A191" s="398"/>
      <c r="B191" s="399"/>
      <c r="C191" s="385"/>
      <c r="D191" s="398"/>
      <c r="E191" s="398"/>
      <c r="F191" s="386"/>
      <c r="G191" s="386"/>
      <c r="H191" s="386"/>
      <c r="I191" s="386"/>
      <c r="J191" s="386"/>
      <c r="K191" s="386"/>
      <c r="L191" s="386"/>
    </row>
    <row r="192" spans="1:12" ht="16.5">
      <c r="A192" s="398"/>
      <c r="B192" s="399"/>
      <c r="C192" s="385"/>
      <c r="D192" s="398"/>
      <c r="E192" s="398"/>
      <c r="F192" s="386"/>
      <c r="G192" s="386"/>
      <c r="H192" s="386"/>
      <c r="I192" s="386"/>
      <c r="J192" s="386"/>
      <c r="K192" s="386"/>
      <c r="L192" s="386"/>
    </row>
    <row r="193" spans="1:12" ht="16.5">
      <c r="A193" s="398"/>
      <c r="B193" s="399"/>
      <c r="C193" s="385"/>
      <c r="D193" s="398"/>
      <c r="E193" s="398"/>
      <c r="F193" s="386"/>
      <c r="G193" s="386"/>
      <c r="H193" s="386"/>
      <c r="I193" s="386"/>
      <c r="J193" s="386"/>
      <c r="K193" s="386"/>
      <c r="L193" s="386"/>
    </row>
    <row r="194" spans="1:12" ht="16.5">
      <c r="A194" s="398"/>
      <c r="B194" s="399"/>
      <c r="C194" s="385"/>
      <c r="D194" s="398"/>
      <c r="E194" s="398"/>
      <c r="F194" s="386"/>
      <c r="G194" s="386"/>
      <c r="H194" s="386"/>
      <c r="I194" s="386"/>
      <c r="J194" s="386"/>
      <c r="K194" s="386"/>
      <c r="L194" s="386"/>
    </row>
    <row r="195" spans="1:12" ht="16.5">
      <c r="A195" s="398"/>
      <c r="B195" s="399"/>
      <c r="C195" s="385"/>
      <c r="D195" s="398"/>
      <c r="E195" s="398"/>
      <c r="F195" s="386"/>
      <c r="G195" s="386"/>
      <c r="H195" s="386"/>
      <c r="I195" s="386"/>
      <c r="J195" s="386"/>
      <c r="K195" s="386"/>
      <c r="L195" s="386"/>
    </row>
    <row r="196" spans="1:12" ht="16.5">
      <c r="A196" s="398"/>
      <c r="B196" s="399"/>
      <c r="C196" s="385"/>
      <c r="D196" s="398"/>
      <c r="E196" s="398"/>
      <c r="F196" s="386"/>
      <c r="G196" s="386"/>
      <c r="H196" s="386"/>
      <c r="I196" s="386"/>
      <c r="J196" s="386"/>
      <c r="K196" s="386"/>
      <c r="L196" s="386"/>
    </row>
    <row r="197" spans="1:12" ht="16.5">
      <c r="A197" s="398"/>
      <c r="B197" s="399"/>
      <c r="C197" s="385"/>
      <c r="D197" s="398"/>
      <c r="E197" s="398"/>
      <c r="F197" s="386"/>
      <c r="G197" s="386"/>
      <c r="H197" s="386"/>
      <c r="I197" s="386"/>
      <c r="J197" s="386"/>
      <c r="K197" s="386"/>
      <c r="L197" s="386"/>
    </row>
    <row r="198" spans="1:12" ht="16.5">
      <c r="A198" s="398"/>
      <c r="B198" s="399"/>
      <c r="C198" s="385"/>
      <c r="D198" s="398"/>
      <c r="E198" s="398"/>
      <c r="F198" s="386"/>
      <c r="G198" s="386"/>
      <c r="H198" s="386"/>
      <c r="I198" s="386"/>
      <c r="J198" s="386"/>
      <c r="K198" s="386"/>
      <c r="L198" s="386"/>
    </row>
    <row r="199" spans="1:12" ht="16.5">
      <c r="A199" s="398"/>
      <c r="B199" s="399"/>
      <c r="C199" s="385"/>
      <c r="D199" s="398"/>
      <c r="E199" s="398"/>
      <c r="F199" s="386"/>
      <c r="G199" s="386"/>
      <c r="H199" s="386"/>
      <c r="I199" s="386"/>
      <c r="J199" s="386"/>
      <c r="K199" s="386"/>
      <c r="L199" s="386"/>
    </row>
    <row r="200" spans="1:12" ht="16.5">
      <c r="A200" s="398"/>
      <c r="B200" s="399"/>
      <c r="C200" s="385"/>
      <c r="D200" s="398"/>
      <c r="E200" s="398"/>
      <c r="F200" s="386"/>
      <c r="G200" s="386"/>
      <c r="H200" s="386"/>
      <c r="I200" s="386"/>
      <c r="J200" s="386"/>
      <c r="K200" s="386"/>
      <c r="L200" s="386"/>
    </row>
    <row r="201" spans="1:12" ht="16.5">
      <c r="A201" s="398"/>
      <c r="B201" s="399"/>
      <c r="C201" s="385"/>
      <c r="D201" s="398"/>
      <c r="E201" s="398"/>
      <c r="F201" s="386"/>
      <c r="G201" s="386"/>
      <c r="H201" s="386"/>
      <c r="I201" s="386"/>
      <c r="J201" s="386"/>
      <c r="K201" s="386"/>
      <c r="L201" s="386"/>
    </row>
    <row r="202" spans="1:12" ht="16.5">
      <c r="A202" s="398"/>
      <c r="B202" s="399"/>
      <c r="C202" s="385"/>
      <c r="D202" s="398"/>
      <c r="E202" s="398"/>
      <c r="F202" s="386"/>
      <c r="G202" s="386"/>
      <c r="H202" s="386"/>
      <c r="I202" s="386"/>
      <c r="J202" s="386"/>
      <c r="K202" s="386"/>
      <c r="L202" s="386"/>
    </row>
    <row r="203" spans="1:12" ht="16.5">
      <c r="A203" s="398"/>
      <c r="B203" s="399"/>
      <c r="C203" s="385"/>
      <c r="D203" s="398"/>
      <c r="E203" s="398"/>
      <c r="F203" s="386"/>
      <c r="G203" s="386"/>
      <c r="H203" s="386"/>
      <c r="I203" s="386"/>
      <c r="J203" s="386"/>
      <c r="K203" s="386"/>
      <c r="L203" s="386"/>
    </row>
    <row r="204" spans="1:12" ht="16.5">
      <c r="A204" s="398"/>
      <c r="B204" s="399"/>
      <c r="C204" s="385"/>
      <c r="D204" s="398"/>
      <c r="E204" s="398"/>
      <c r="F204" s="386"/>
      <c r="G204" s="386"/>
      <c r="H204" s="386"/>
      <c r="I204" s="386"/>
      <c r="J204" s="386"/>
      <c r="K204" s="386"/>
      <c r="L204" s="386"/>
    </row>
    <row r="205" spans="1:12" ht="16.5">
      <c r="A205" s="398"/>
      <c r="B205" s="399"/>
      <c r="C205" s="385"/>
      <c r="D205" s="398"/>
      <c r="E205" s="398"/>
      <c r="F205" s="386"/>
      <c r="G205" s="386"/>
      <c r="H205" s="386"/>
      <c r="I205" s="386"/>
      <c r="J205" s="386"/>
      <c r="K205" s="386"/>
      <c r="L205" s="386"/>
    </row>
    <row r="206" spans="1:12" ht="16.5">
      <c r="A206" s="398"/>
      <c r="B206" s="399"/>
      <c r="C206" s="385"/>
      <c r="D206" s="398"/>
      <c r="E206" s="398"/>
      <c r="F206" s="386"/>
      <c r="G206" s="386"/>
      <c r="H206" s="386"/>
      <c r="I206" s="386"/>
      <c r="J206" s="386"/>
      <c r="K206" s="386"/>
      <c r="L206" s="386"/>
    </row>
    <row r="207" spans="1:12" ht="16.5">
      <c r="A207" s="398"/>
      <c r="B207" s="399"/>
      <c r="C207" s="385"/>
      <c r="D207" s="398"/>
      <c r="E207" s="398"/>
      <c r="F207" s="386"/>
      <c r="G207" s="386"/>
      <c r="H207" s="386"/>
      <c r="I207" s="386"/>
      <c r="J207" s="386"/>
      <c r="K207" s="386"/>
      <c r="L207" s="386"/>
    </row>
    <row r="208" spans="1:12" ht="16.5">
      <c r="A208" s="398"/>
      <c r="B208" s="399"/>
      <c r="C208" s="385"/>
      <c r="D208" s="398"/>
      <c r="E208" s="398"/>
      <c r="F208" s="386"/>
      <c r="G208" s="386"/>
      <c r="H208" s="386"/>
      <c r="I208" s="386"/>
      <c r="J208" s="386"/>
      <c r="K208" s="386"/>
      <c r="L208" s="386"/>
    </row>
    <row r="209" spans="1:12" ht="16.5">
      <c r="A209" s="398"/>
      <c r="B209" s="399"/>
      <c r="C209" s="385"/>
      <c r="D209" s="398"/>
      <c r="E209" s="398"/>
      <c r="F209" s="386"/>
      <c r="G209" s="386"/>
      <c r="H209" s="386"/>
      <c r="I209" s="386"/>
      <c r="J209" s="386"/>
      <c r="K209" s="386"/>
      <c r="L209" s="386"/>
    </row>
    <row r="210" spans="1:12" ht="16.5">
      <c r="A210" s="398"/>
      <c r="B210" s="399"/>
      <c r="C210" s="385"/>
      <c r="D210" s="398"/>
      <c r="E210" s="398"/>
      <c r="F210" s="386"/>
      <c r="G210" s="386"/>
      <c r="H210" s="386"/>
      <c r="I210" s="386"/>
      <c r="J210" s="386"/>
      <c r="K210" s="386"/>
      <c r="L210" s="386"/>
    </row>
    <row r="211" spans="1:12" ht="16.5">
      <c r="A211" s="398"/>
      <c r="B211" s="399"/>
      <c r="C211" s="385"/>
      <c r="D211" s="398"/>
      <c r="E211" s="398"/>
      <c r="F211" s="386"/>
      <c r="G211" s="386"/>
      <c r="H211" s="386"/>
      <c r="I211" s="386"/>
      <c r="J211" s="386"/>
      <c r="K211" s="386"/>
      <c r="L211" s="386"/>
    </row>
    <row r="212" spans="1:12" ht="16.5">
      <c r="A212" s="398"/>
      <c r="B212" s="399"/>
      <c r="C212" s="385"/>
      <c r="D212" s="398"/>
      <c r="E212" s="398"/>
      <c r="F212" s="386"/>
      <c r="G212" s="386"/>
      <c r="H212" s="386"/>
      <c r="I212" s="386"/>
      <c r="J212" s="386"/>
      <c r="K212" s="386"/>
      <c r="L212" s="386"/>
    </row>
    <row r="213" spans="1:12" ht="16.5">
      <c r="A213" s="398"/>
      <c r="B213" s="399"/>
      <c r="C213" s="385"/>
      <c r="D213" s="398"/>
      <c r="E213" s="398"/>
      <c r="F213" s="386"/>
      <c r="G213" s="386"/>
      <c r="H213" s="386"/>
      <c r="I213" s="386"/>
      <c r="J213" s="386"/>
      <c r="K213" s="386"/>
      <c r="L213" s="386"/>
    </row>
    <row r="214" spans="1:12" ht="16.5">
      <c r="A214" s="398"/>
      <c r="B214" s="399"/>
      <c r="C214" s="385"/>
      <c r="D214" s="398"/>
      <c r="E214" s="398"/>
      <c r="F214" s="386"/>
      <c r="G214" s="386"/>
      <c r="H214" s="386"/>
      <c r="I214" s="386"/>
      <c r="J214" s="386"/>
      <c r="K214" s="386"/>
      <c r="L214" s="386"/>
    </row>
    <row r="215" spans="1:12" ht="16.5">
      <c r="A215" s="398"/>
      <c r="B215" s="399"/>
      <c r="C215" s="385"/>
      <c r="D215" s="398"/>
      <c r="E215" s="398"/>
      <c r="F215" s="386"/>
      <c r="G215" s="386"/>
      <c r="H215" s="386"/>
      <c r="I215" s="386"/>
      <c r="J215" s="386"/>
      <c r="K215" s="386"/>
      <c r="L215" s="386"/>
    </row>
    <row r="216" spans="1:12" ht="16.5">
      <c r="A216" s="398"/>
      <c r="B216" s="399"/>
      <c r="C216" s="385"/>
      <c r="D216" s="398"/>
      <c r="E216" s="398"/>
      <c r="F216" s="386"/>
      <c r="G216" s="386"/>
      <c r="H216" s="386"/>
      <c r="I216" s="386"/>
      <c r="J216" s="386"/>
      <c r="K216" s="386"/>
      <c r="L216" s="386"/>
    </row>
    <row r="217" spans="1:12" ht="16.5">
      <c r="A217" s="398"/>
      <c r="B217" s="399"/>
      <c r="C217" s="385"/>
      <c r="D217" s="398"/>
      <c r="E217" s="398"/>
      <c r="F217" s="386"/>
      <c r="G217" s="386"/>
      <c r="H217" s="386"/>
      <c r="I217" s="386"/>
      <c r="J217" s="386"/>
      <c r="K217" s="386"/>
      <c r="L217" s="386"/>
    </row>
    <row r="218" spans="1:12" ht="16.5">
      <c r="A218" s="398"/>
      <c r="B218" s="399"/>
      <c r="C218" s="385"/>
      <c r="D218" s="398"/>
      <c r="E218" s="398"/>
      <c r="F218" s="386"/>
      <c r="G218" s="386"/>
      <c r="H218" s="386"/>
      <c r="I218" s="386"/>
      <c r="J218" s="386"/>
      <c r="K218" s="386"/>
      <c r="L218" s="386"/>
    </row>
    <row r="219" spans="1:12" ht="16.5">
      <c r="A219" s="398"/>
      <c r="B219" s="399"/>
      <c r="C219" s="385"/>
      <c r="D219" s="398"/>
      <c r="E219" s="398"/>
      <c r="F219" s="386"/>
      <c r="G219" s="386"/>
      <c r="H219" s="386"/>
      <c r="I219" s="386"/>
      <c r="J219" s="386"/>
      <c r="K219" s="386"/>
      <c r="L219" s="386"/>
    </row>
    <row r="220" spans="1:12" ht="16.5">
      <c r="A220" s="398"/>
      <c r="B220" s="399"/>
      <c r="C220" s="385"/>
      <c r="D220" s="398"/>
      <c r="E220" s="398"/>
      <c r="F220" s="386"/>
      <c r="G220" s="386"/>
      <c r="H220" s="386"/>
      <c r="I220" s="386"/>
      <c r="J220" s="386"/>
      <c r="K220" s="386"/>
      <c r="L220" s="386"/>
    </row>
    <row r="221" spans="1:12" ht="16.5">
      <c r="A221" s="398"/>
      <c r="B221" s="399"/>
      <c r="C221" s="385"/>
      <c r="D221" s="398"/>
      <c r="E221" s="398"/>
      <c r="F221" s="386"/>
      <c r="G221" s="386"/>
      <c r="H221" s="386"/>
      <c r="I221" s="386"/>
      <c r="J221" s="386"/>
      <c r="K221" s="386"/>
      <c r="L221" s="386"/>
    </row>
    <row r="222" spans="1:12" ht="16.5">
      <c r="A222" s="398"/>
      <c r="B222" s="399"/>
      <c r="C222" s="385"/>
      <c r="D222" s="398"/>
      <c r="E222" s="398"/>
      <c r="F222" s="386"/>
      <c r="G222" s="386"/>
      <c r="H222" s="386"/>
      <c r="I222" s="386"/>
      <c r="J222" s="386"/>
      <c r="K222" s="386"/>
      <c r="L222" s="386"/>
    </row>
    <row r="223" spans="1:12" ht="16.5">
      <c r="A223" s="398"/>
      <c r="B223" s="399"/>
      <c r="C223" s="385"/>
      <c r="D223" s="398"/>
      <c r="E223" s="398"/>
      <c r="F223" s="386"/>
      <c r="G223" s="386"/>
      <c r="H223" s="386"/>
      <c r="I223" s="386"/>
      <c r="J223" s="386"/>
      <c r="K223" s="386"/>
      <c r="L223" s="386"/>
    </row>
    <row r="224" spans="1:12" ht="16.5">
      <c r="A224" s="398"/>
      <c r="B224" s="399"/>
      <c r="C224" s="385"/>
      <c r="D224" s="398"/>
      <c r="E224" s="398"/>
      <c r="F224" s="386"/>
      <c r="G224" s="386"/>
      <c r="H224" s="386"/>
      <c r="I224" s="386"/>
      <c r="J224" s="386"/>
      <c r="K224" s="386"/>
      <c r="L224" s="386"/>
    </row>
    <row r="225" spans="1:12" ht="16.5">
      <c r="A225" s="398"/>
      <c r="B225" s="399"/>
      <c r="C225" s="385"/>
      <c r="D225" s="398"/>
      <c r="E225" s="398"/>
      <c r="F225" s="386"/>
      <c r="G225" s="386"/>
      <c r="H225" s="386"/>
      <c r="I225" s="386"/>
      <c r="J225" s="386"/>
      <c r="K225" s="386"/>
      <c r="L225" s="386"/>
    </row>
    <row r="226" spans="1:12" ht="16.5">
      <c r="A226" s="398"/>
      <c r="B226" s="399"/>
      <c r="C226" s="385"/>
      <c r="D226" s="398"/>
      <c r="E226" s="398"/>
      <c r="F226" s="386"/>
      <c r="G226" s="386"/>
      <c r="H226" s="386"/>
      <c r="I226" s="386"/>
      <c r="J226" s="386"/>
      <c r="K226" s="386"/>
      <c r="L226" s="386"/>
    </row>
    <row r="227" spans="1:12" ht="16.5">
      <c r="A227" s="398"/>
      <c r="B227" s="399"/>
      <c r="C227" s="385"/>
      <c r="D227" s="398"/>
      <c r="E227" s="398"/>
      <c r="F227" s="386"/>
      <c r="G227" s="386"/>
      <c r="H227" s="386"/>
      <c r="I227" s="386"/>
      <c r="J227" s="386"/>
      <c r="K227" s="386"/>
      <c r="L227" s="386"/>
    </row>
    <row r="228" spans="1:12" ht="16.5">
      <c r="A228" s="398"/>
      <c r="B228" s="399"/>
      <c r="C228" s="385"/>
      <c r="D228" s="398"/>
      <c r="E228" s="398"/>
      <c r="F228" s="386"/>
      <c r="G228" s="386"/>
      <c r="H228" s="386"/>
      <c r="I228" s="386"/>
      <c r="J228" s="386"/>
      <c r="K228" s="386"/>
      <c r="L228" s="386"/>
    </row>
    <row r="229" spans="1:12" ht="16.5">
      <c r="A229" s="398"/>
      <c r="B229" s="399"/>
      <c r="C229" s="385"/>
      <c r="D229" s="398"/>
      <c r="E229" s="398"/>
      <c r="F229" s="386"/>
      <c r="G229" s="386"/>
      <c r="H229" s="386"/>
      <c r="I229" s="386"/>
      <c r="J229" s="386"/>
      <c r="K229" s="386"/>
      <c r="L229" s="386"/>
    </row>
    <row r="230" spans="1:12" ht="16.5">
      <c r="A230" s="398"/>
      <c r="B230" s="399"/>
      <c r="C230" s="385"/>
      <c r="D230" s="398"/>
      <c r="E230" s="398"/>
      <c r="F230" s="386"/>
      <c r="G230" s="386"/>
      <c r="H230" s="386"/>
      <c r="I230" s="386"/>
      <c r="J230" s="386"/>
      <c r="K230" s="386"/>
      <c r="L230" s="386"/>
    </row>
    <row r="231" spans="1:12" ht="16.5">
      <c r="A231" s="398"/>
      <c r="B231" s="399"/>
      <c r="C231" s="385"/>
      <c r="D231" s="398"/>
      <c r="E231" s="398"/>
      <c r="F231" s="386"/>
      <c r="G231" s="386"/>
      <c r="H231" s="386"/>
      <c r="I231" s="386"/>
      <c r="J231" s="386"/>
      <c r="K231" s="386"/>
      <c r="L231" s="386"/>
    </row>
    <row r="232" spans="1:12" ht="16.5">
      <c r="A232" s="398"/>
      <c r="B232" s="399"/>
      <c r="C232" s="385"/>
      <c r="D232" s="398"/>
      <c r="E232" s="398"/>
      <c r="F232" s="386"/>
      <c r="G232" s="386"/>
      <c r="H232" s="386"/>
      <c r="I232" s="386"/>
      <c r="J232" s="386"/>
      <c r="K232" s="386"/>
      <c r="L232" s="386"/>
    </row>
    <row r="233" spans="1:12" ht="16.5">
      <c r="A233" s="398"/>
      <c r="B233" s="399"/>
      <c r="C233" s="385"/>
      <c r="D233" s="398"/>
      <c r="E233" s="398"/>
      <c r="F233" s="386"/>
      <c r="G233" s="386"/>
      <c r="H233" s="386"/>
      <c r="I233" s="386"/>
      <c r="J233" s="386"/>
      <c r="K233" s="386"/>
      <c r="L233" s="386"/>
    </row>
    <row r="234" spans="1:12" ht="16.5">
      <c r="A234" s="398"/>
      <c r="B234" s="399"/>
      <c r="C234" s="385"/>
      <c r="D234" s="398"/>
      <c r="E234" s="398"/>
      <c r="F234" s="386"/>
      <c r="G234" s="386"/>
      <c r="H234" s="386"/>
      <c r="I234" s="386"/>
      <c r="J234" s="386"/>
      <c r="K234" s="386"/>
      <c r="L234" s="386"/>
    </row>
    <row r="235" spans="1:12" ht="16.5">
      <c r="A235" s="398"/>
      <c r="B235" s="399"/>
      <c r="C235" s="385"/>
      <c r="D235" s="398"/>
      <c r="E235" s="398"/>
      <c r="F235" s="386"/>
      <c r="G235" s="386"/>
      <c r="H235" s="386"/>
      <c r="I235" s="386"/>
      <c r="J235" s="386"/>
      <c r="K235" s="386"/>
      <c r="L235" s="386"/>
    </row>
    <row r="236" spans="1:12" ht="16.5">
      <c r="A236" s="398"/>
      <c r="B236" s="399"/>
      <c r="C236" s="385"/>
      <c r="D236" s="398"/>
      <c r="E236" s="398"/>
      <c r="F236" s="386"/>
      <c r="G236" s="386"/>
      <c r="H236" s="386"/>
      <c r="I236" s="386"/>
      <c r="J236" s="386"/>
      <c r="K236" s="386"/>
      <c r="L236" s="386"/>
    </row>
    <row r="237" spans="1:12" ht="16.5">
      <c r="A237" s="398"/>
      <c r="B237" s="399"/>
      <c r="C237" s="385"/>
      <c r="D237" s="398"/>
      <c r="E237" s="398"/>
      <c r="F237" s="386"/>
      <c r="G237" s="386"/>
      <c r="H237" s="386"/>
      <c r="I237" s="386"/>
      <c r="J237" s="386"/>
      <c r="K237" s="386"/>
      <c r="L237" s="386"/>
    </row>
    <row r="238" spans="1:12" ht="16.5">
      <c r="A238" s="398"/>
      <c r="B238" s="399"/>
      <c r="C238" s="385"/>
      <c r="D238" s="398"/>
      <c r="E238" s="398"/>
      <c r="F238" s="386"/>
      <c r="G238" s="386"/>
      <c r="H238" s="386"/>
      <c r="I238" s="386"/>
      <c r="J238" s="386"/>
      <c r="K238" s="386"/>
      <c r="L238" s="386"/>
    </row>
    <row r="239" spans="1:12" ht="16.5">
      <c r="A239" s="398"/>
      <c r="B239" s="399"/>
      <c r="C239" s="385"/>
      <c r="D239" s="398"/>
      <c r="E239" s="398"/>
      <c r="F239" s="386"/>
      <c r="G239" s="386"/>
      <c r="H239" s="386"/>
      <c r="I239" s="386"/>
      <c r="J239" s="386"/>
      <c r="K239" s="386"/>
      <c r="L239" s="386"/>
    </row>
    <row r="240" spans="1:12" ht="16.5">
      <c r="A240" s="398"/>
      <c r="B240" s="399"/>
      <c r="C240" s="385"/>
      <c r="D240" s="398"/>
      <c r="E240" s="398"/>
      <c r="F240" s="386"/>
      <c r="G240" s="386"/>
      <c r="H240" s="386"/>
      <c r="I240" s="386"/>
      <c r="J240" s="386"/>
      <c r="K240" s="386"/>
      <c r="L240" s="386"/>
    </row>
    <row r="241" spans="1:12" ht="16.5">
      <c r="A241" s="398"/>
      <c r="B241" s="399"/>
      <c r="C241" s="385"/>
      <c r="D241" s="398"/>
      <c r="E241" s="398"/>
      <c r="F241" s="386"/>
      <c r="G241" s="386"/>
      <c r="H241" s="386"/>
      <c r="I241" s="386"/>
      <c r="J241" s="386"/>
      <c r="K241" s="386"/>
      <c r="L241" s="386"/>
    </row>
    <row r="242" spans="1:12" ht="16.5">
      <c r="A242" s="398"/>
      <c r="B242" s="399"/>
      <c r="C242" s="385"/>
      <c r="D242" s="398"/>
      <c r="E242" s="398"/>
      <c r="F242" s="386"/>
      <c r="G242" s="386"/>
      <c r="H242" s="386"/>
      <c r="I242" s="386"/>
      <c r="J242" s="386"/>
      <c r="K242" s="386"/>
      <c r="L242" s="386"/>
    </row>
    <row r="243" spans="1:12" ht="16.5">
      <c r="A243" s="398"/>
      <c r="B243" s="399"/>
      <c r="C243" s="385"/>
      <c r="D243" s="398"/>
      <c r="E243" s="398"/>
      <c r="F243" s="386"/>
      <c r="G243" s="386"/>
      <c r="H243" s="386"/>
      <c r="I243" s="386"/>
      <c r="J243" s="386"/>
      <c r="K243" s="386"/>
      <c r="L243" s="386"/>
    </row>
  </sheetData>
  <sheetProtection/>
  <mergeCells count="10">
    <mergeCell ref="L4:L5"/>
    <mergeCell ref="B2:L2"/>
    <mergeCell ref="A3:L3"/>
    <mergeCell ref="A4:A5"/>
    <mergeCell ref="B4:B5"/>
    <mergeCell ref="C4:C5"/>
    <mergeCell ref="D4:D5"/>
    <mergeCell ref="E4:E5"/>
    <mergeCell ref="F4:J4"/>
    <mergeCell ref="K4:K5"/>
  </mergeCells>
  <printOptions horizontalCentered="1"/>
  <pageMargins left="0.7086614173228347" right="0.4724409448818898" top="0.4724409448818898" bottom="0.5118110236220472" header="0.35433070866141736" footer="0.1968503937007874"/>
  <pageSetup fitToHeight="0" fitToWidth="1" horizontalDpi="600" verticalDpi="600" orientation="landscape" paperSize="9" scale="71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57"/>
  <sheetViews>
    <sheetView view="pageBreakPreview" zoomScale="70" zoomScaleNormal="70" zoomScaleSheetLayoutView="70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K6" sqref="K6"/>
    </sheetView>
  </sheetViews>
  <sheetFormatPr defaultColWidth="9.140625" defaultRowHeight="12.75"/>
  <cols>
    <col min="1" max="1" width="6.57421875" style="405" customWidth="1"/>
    <col min="2" max="2" width="40.140625" style="382" customWidth="1"/>
    <col min="3" max="3" width="15.00390625" style="382" customWidth="1"/>
    <col min="4" max="4" width="14.421875" style="383" customWidth="1"/>
    <col min="5" max="5" width="14.421875" style="383" hidden="1" customWidth="1"/>
    <col min="6" max="6" width="14.421875" style="383" customWidth="1"/>
    <col min="7" max="12" width="12.421875" style="381" customWidth="1"/>
    <col min="13" max="13" width="17.28125" style="381" customWidth="1"/>
    <col min="14" max="14" width="9.140625" style="381" customWidth="1"/>
    <col min="15" max="15" width="16.8515625" style="381" customWidth="1"/>
    <col min="16" max="16384" width="9.140625" style="381" customWidth="1"/>
  </cols>
  <sheetData>
    <row r="1" spans="1:13" ht="29.25" customHeight="1">
      <c r="A1" s="381"/>
      <c r="B1" s="458" t="s">
        <v>366</v>
      </c>
      <c r="C1" s="383"/>
      <c r="I1" s="465"/>
      <c r="J1" s="529" t="s">
        <v>332</v>
      </c>
      <c r="K1" s="965" t="s">
        <v>565</v>
      </c>
      <c r="L1" s="965"/>
      <c r="M1" s="965"/>
    </row>
    <row r="2" spans="1:13" ht="26.25" customHeight="1">
      <c r="A2" s="381"/>
      <c r="B2" s="981" t="str">
        <f>+'BM4'!B2:L2</f>
        <v>Huyện Tuần Giáo</v>
      </c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</row>
    <row r="3" spans="1:13" ht="29.25" customHeight="1">
      <c r="A3" s="976" t="s">
        <v>672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  <c r="M3" s="976"/>
    </row>
    <row r="4" spans="1:13" ht="18.75" customHeight="1">
      <c r="A4" s="398"/>
      <c r="B4" s="399"/>
      <c r="C4" s="399"/>
      <c r="D4" s="385"/>
      <c r="E4" s="385"/>
      <c r="F4" s="385"/>
      <c r="G4" s="386"/>
      <c r="H4" s="386"/>
      <c r="I4" s="386"/>
      <c r="J4" s="386"/>
      <c r="K4" s="386"/>
      <c r="L4" s="386"/>
      <c r="M4" s="386"/>
    </row>
    <row r="5" spans="1:15" ht="32.25" customHeight="1">
      <c r="A5" s="969" t="s">
        <v>0</v>
      </c>
      <c r="B5" s="969" t="s">
        <v>287</v>
      </c>
      <c r="C5" s="969" t="s">
        <v>184</v>
      </c>
      <c r="D5" s="969" t="s">
        <v>323</v>
      </c>
      <c r="E5" s="391"/>
      <c r="F5" s="969" t="s">
        <v>329</v>
      </c>
      <c r="G5" s="971" t="s">
        <v>477</v>
      </c>
      <c r="H5" s="972"/>
      <c r="I5" s="972"/>
      <c r="J5" s="972"/>
      <c r="K5" s="973"/>
      <c r="L5" s="983" t="s">
        <v>478</v>
      </c>
      <c r="M5" s="983" t="s">
        <v>479</v>
      </c>
      <c r="O5" s="969" t="s">
        <v>323</v>
      </c>
    </row>
    <row r="6" spans="1:15" s="426" customFormat="1" ht="38.25" customHeight="1">
      <c r="A6" s="970"/>
      <c r="B6" s="970"/>
      <c r="C6" s="970"/>
      <c r="D6" s="970"/>
      <c r="E6" s="387" t="s">
        <v>144</v>
      </c>
      <c r="F6" s="970"/>
      <c r="G6" s="387" t="s">
        <v>701</v>
      </c>
      <c r="H6" s="387" t="s">
        <v>702</v>
      </c>
      <c r="I6" s="387" t="s">
        <v>703</v>
      </c>
      <c r="J6" s="387" t="s">
        <v>704</v>
      </c>
      <c r="K6" s="387" t="s">
        <v>705</v>
      </c>
      <c r="L6" s="984"/>
      <c r="M6" s="984"/>
      <c r="O6" s="970"/>
    </row>
    <row r="7" spans="1:15" s="408" customFormat="1" ht="27.75" customHeight="1">
      <c r="A7" s="389" t="s">
        <v>101</v>
      </c>
      <c r="B7" s="390" t="s">
        <v>384</v>
      </c>
      <c r="C7" s="387"/>
      <c r="D7" s="380"/>
      <c r="E7" s="380"/>
      <c r="F7" s="380"/>
      <c r="G7" s="600"/>
      <c r="H7" s="600"/>
      <c r="I7" s="600"/>
      <c r="J7" s="586"/>
      <c r="K7" s="586"/>
      <c r="L7" s="586"/>
      <c r="M7" s="601"/>
      <c r="O7" s="380"/>
    </row>
    <row r="8" spans="1:25" s="408" customFormat="1" ht="27.75" customHeight="1">
      <c r="A8" s="389">
        <v>1</v>
      </c>
      <c r="B8" s="394" t="s">
        <v>385</v>
      </c>
      <c r="C8" s="387"/>
      <c r="D8" s="380"/>
      <c r="E8" s="380"/>
      <c r="F8" s="380"/>
      <c r="G8" s="602"/>
      <c r="H8" s="600"/>
      <c r="I8" s="600"/>
      <c r="J8" s="586"/>
      <c r="K8" s="586"/>
      <c r="L8" s="586"/>
      <c r="M8" s="601"/>
      <c r="N8" s="407"/>
      <c r="O8" s="380"/>
      <c r="P8" s="409"/>
      <c r="Q8" s="407"/>
      <c r="S8" s="409"/>
      <c r="T8" s="407"/>
      <c r="V8" s="409"/>
      <c r="W8" s="407"/>
      <c r="Y8" s="409"/>
    </row>
    <row r="9" spans="1:25" s="408" customFormat="1" ht="27.75" customHeight="1">
      <c r="A9" s="395"/>
      <c r="B9" s="593" t="s">
        <v>386</v>
      </c>
      <c r="C9" s="391" t="s">
        <v>387</v>
      </c>
      <c r="D9" s="603">
        <v>6252</v>
      </c>
      <c r="E9" s="603">
        <v>41372</v>
      </c>
      <c r="F9" s="603">
        <v>5690</v>
      </c>
      <c r="G9" s="603">
        <v>6218</v>
      </c>
      <c r="H9" s="603">
        <v>6325</v>
      </c>
      <c r="I9" s="603">
        <v>6215</v>
      </c>
      <c r="J9" s="603">
        <v>6155</v>
      </c>
      <c r="K9" s="603">
        <v>5947</v>
      </c>
      <c r="L9" s="603">
        <v>5947</v>
      </c>
      <c r="M9" s="604" t="s">
        <v>36</v>
      </c>
      <c r="N9" s="982"/>
      <c r="O9" s="603">
        <v>6252</v>
      </c>
      <c r="P9" s="409"/>
      <c r="Q9" s="407"/>
      <c r="S9" s="409"/>
      <c r="T9" s="407"/>
      <c r="V9" s="409"/>
      <c r="W9" s="407"/>
      <c r="Y9" s="409"/>
    </row>
    <row r="10" spans="1:15" s="408" customFormat="1" ht="27.75" customHeight="1">
      <c r="A10" s="389">
        <v>2</v>
      </c>
      <c r="B10" s="390" t="s">
        <v>388</v>
      </c>
      <c r="C10" s="391"/>
      <c r="D10" s="603"/>
      <c r="E10" s="605"/>
      <c r="F10" s="605"/>
      <c r="G10" s="605"/>
      <c r="H10" s="605"/>
      <c r="I10" s="605"/>
      <c r="J10" s="605"/>
      <c r="K10" s="605"/>
      <c r="L10" s="605"/>
      <c r="M10" s="590"/>
      <c r="N10" s="982"/>
      <c r="O10" s="603"/>
    </row>
    <row r="11" spans="1:15" s="386" customFormat="1" ht="27.75" customHeight="1">
      <c r="A11" s="395"/>
      <c r="B11" s="425" t="s">
        <v>389</v>
      </c>
      <c r="C11" s="391" t="s">
        <v>387</v>
      </c>
      <c r="D11" s="603">
        <v>9129</v>
      </c>
      <c r="E11" s="603">
        <v>64595</v>
      </c>
      <c r="F11" s="603">
        <v>10050</v>
      </c>
      <c r="G11" s="603">
        <v>9231</v>
      </c>
      <c r="H11" s="603">
        <v>9382</v>
      </c>
      <c r="I11" s="603">
        <v>9694</v>
      </c>
      <c r="J11" s="603">
        <v>9991</v>
      </c>
      <c r="K11" s="603">
        <v>10290</v>
      </c>
      <c r="L11" s="603">
        <v>10290</v>
      </c>
      <c r="M11" s="604" t="s">
        <v>36</v>
      </c>
      <c r="N11" s="982"/>
      <c r="O11" s="603">
        <v>9129</v>
      </c>
    </row>
    <row r="12" spans="1:25" s="408" customFormat="1" ht="27.75" customHeight="1">
      <c r="A12" s="389">
        <v>3</v>
      </c>
      <c r="B12" s="394" t="s">
        <v>390</v>
      </c>
      <c r="C12" s="391"/>
      <c r="D12" s="603"/>
      <c r="E12" s="605"/>
      <c r="F12" s="605"/>
      <c r="G12" s="605"/>
      <c r="H12" s="605"/>
      <c r="I12" s="605"/>
      <c r="J12" s="605"/>
      <c r="K12" s="605"/>
      <c r="L12" s="605"/>
      <c r="M12" s="590"/>
      <c r="N12" s="982"/>
      <c r="O12" s="603"/>
      <c r="P12" s="409"/>
      <c r="Q12" s="407"/>
      <c r="S12" s="409"/>
      <c r="T12" s="407"/>
      <c r="V12" s="409"/>
      <c r="W12" s="407"/>
      <c r="Y12" s="409"/>
    </row>
    <row r="13" spans="1:15" s="386" customFormat="1" ht="27.75" customHeight="1">
      <c r="A13" s="395"/>
      <c r="B13" s="425" t="s">
        <v>391</v>
      </c>
      <c r="C13" s="391" t="s">
        <v>387</v>
      </c>
      <c r="D13" s="603">
        <v>5361</v>
      </c>
      <c r="E13" s="603">
        <v>40530</v>
      </c>
      <c r="F13" s="603">
        <v>6690</v>
      </c>
      <c r="G13" s="603">
        <v>5476</v>
      </c>
      <c r="H13" s="603">
        <v>6315</v>
      </c>
      <c r="I13" s="603">
        <v>6496</v>
      </c>
      <c r="J13" s="603">
        <v>6600</v>
      </c>
      <c r="K13" s="603">
        <v>6890</v>
      </c>
      <c r="L13" s="603">
        <v>6890</v>
      </c>
      <c r="M13" s="604" t="s">
        <v>36</v>
      </c>
      <c r="N13" s="982"/>
      <c r="O13" s="603">
        <v>5361</v>
      </c>
    </row>
    <row r="14" spans="1:15" s="408" customFormat="1" ht="27.75" customHeight="1">
      <c r="A14" s="389">
        <v>4</v>
      </c>
      <c r="B14" s="390" t="s">
        <v>392</v>
      </c>
      <c r="C14" s="391"/>
      <c r="D14" s="603"/>
      <c r="E14" s="605"/>
      <c r="F14" s="605"/>
      <c r="G14" s="605"/>
      <c r="H14" s="605"/>
      <c r="I14" s="605"/>
      <c r="J14" s="605"/>
      <c r="K14" s="605"/>
      <c r="L14" s="605"/>
      <c r="M14" s="392"/>
      <c r="N14" s="982"/>
      <c r="O14" s="603"/>
    </row>
    <row r="15" spans="1:15" s="386" customFormat="1" ht="27.75" customHeight="1">
      <c r="A15" s="395"/>
      <c r="B15" s="425" t="s">
        <v>393</v>
      </c>
      <c r="C15" s="391" t="s">
        <v>387</v>
      </c>
      <c r="D15" s="603">
        <v>1900</v>
      </c>
      <c r="E15" s="603">
        <v>15194</v>
      </c>
      <c r="F15" s="603">
        <v>2040</v>
      </c>
      <c r="G15" s="603">
        <v>1875</v>
      </c>
      <c r="H15" s="603">
        <v>1783</v>
      </c>
      <c r="I15" s="603">
        <v>1753</v>
      </c>
      <c r="J15" s="603">
        <v>1991</v>
      </c>
      <c r="K15" s="603">
        <v>2040</v>
      </c>
      <c r="L15" s="603">
        <v>2040</v>
      </c>
      <c r="M15" s="604" t="s">
        <v>36</v>
      </c>
      <c r="N15" s="982"/>
      <c r="O15" s="603">
        <v>16890</v>
      </c>
    </row>
    <row r="16" spans="1:14" s="408" customFormat="1" ht="27.75" customHeight="1">
      <c r="A16" s="389" t="s">
        <v>102</v>
      </c>
      <c r="B16" s="390" t="s">
        <v>394</v>
      </c>
      <c r="C16" s="387"/>
      <c r="D16" s="466"/>
      <c r="E16" s="466"/>
      <c r="F16" s="817"/>
      <c r="G16" s="466"/>
      <c r="H16" s="466"/>
      <c r="I16" s="466"/>
      <c r="J16" s="466"/>
      <c r="K16" s="466"/>
      <c r="L16" s="466"/>
      <c r="M16" s="466"/>
      <c r="N16" s="982"/>
    </row>
    <row r="17" spans="1:14" s="408" customFormat="1" ht="27.75" customHeight="1">
      <c r="A17" s="389">
        <v>1</v>
      </c>
      <c r="B17" s="390" t="s">
        <v>395</v>
      </c>
      <c r="C17" s="387"/>
      <c r="D17" s="519"/>
      <c r="E17" s="519"/>
      <c r="F17" s="519"/>
      <c r="G17" s="520"/>
      <c r="H17" s="520"/>
      <c r="I17" s="520"/>
      <c r="J17" s="520"/>
      <c r="K17" s="520"/>
      <c r="L17" s="520"/>
      <c r="M17" s="601"/>
      <c r="N17" s="606"/>
    </row>
    <row r="18" spans="1:14" s="386" customFormat="1" ht="26.25" customHeight="1">
      <c r="A18" s="395"/>
      <c r="B18" s="583" t="s">
        <v>622</v>
      </c>
      <c r="C18" s="391" t="s">
        <v>397</v>
      </c>
      <c r="D18" s="507"/>
      <c r="E18" s="507"/>
      <c r="F18" s="507"/>
      <c r="G18" s="523"/>
      <c r="H18" s="523"/>
      <c r="I18" s="523"/>
      <c r="J18" s="523"/>
      <c r="K18" s="523"/>
      <c r="L18" s="523"/>
      <c r="M18" s="518"/>
      <c r="N18" s="384"/>
    </row>
    <row r="19" spans="1:14" s="386" customFormat="1" ht="26.25" customHeight="1">
      <c r="A19" s="395"/>
      <c r="B19" s="583" t="s">
        <v>612</v>
      </c>
      <c r="C19" s="391" t="s">
        <v>397</v>
      </c>
      <c r="D19" s="507"/>
      <c r="E19" s="507"/>
      <c r="F19" s="507"/>
      <c r="G19" s="523"/>
      <c r="H19" s="523"/>
      <c r="I19" s="523"/>
      <c r="J19" s="523"/>
      <c r="K19" s="523"/>
      <c r="L19" s="523"/>
      <c r="M19" s="518"/>
      <c r="N19" s="384"/>
    </row>
    <row r="20" spans="1:14" s="386" customFormat="1" ht="26.25" customHeight="1">
      <c r="A20" s="395"/>
      <c r="B20" s="583" t="s">
        <v>613</v>
      </c>
      <c r="C20" s="391" t="s">
        <v>397</v>
      </c>
      <c r="D20" s="507"/>
      <c r="E20" s="507"/>
      <c r="F20" s="507"/>
      <c r="G20" s="523"/>
      <c r="H20" s="523"/>
      <c r="I20" s="523"/>
      <c r="J20" s="523"/>
      <c r="K20" s="523"/>
      <c r="L20" s="523"/>
      <c r="M20" s="518"/>
      <c r="N20" s="384"/>
    </row>
    <row r="21" spans="1:14" s="386" customFormat="1" ht="26.25" customHeight="1">
      <c r="A21" s="395"/>
      <c r="B21" s="583" t="s">
        <v>614</v>
      </c>
      <c r="C21" s="391" t="s">
        <v>397</v>
      </c>
      <c r="D21" s="507"/>
      <c r="E21" s="507"/>
      <c r="F21" s="507"/>
      <c r="G21" s="523"/>
      <c r="H21" s="523"/>
      <c r="I21" s="523"/>
      <c r="J21" s="523"/>
      <c r="K21" s="523"/>
      <c r="L21" s="523"/>
      <c r="M21" s="518"/>
      <c r="N21" s="384"/>
    </row>
    <row r="22" spans="1:14" s="408" customFormat="1" ht="39" customHeight="1">
      <c r="A22" s="389"/>
      <c r="B22" s="607" t="s">
        <v>623</v>
      </c>
      <c r="C22" s="424" t="s">
        <v>399</v>
      </c>
      <c r="D22" s="472"/>
      <c r="E22" s="472"/>
      <c r="F22" s="472"/>
      <c r="G22" s="521"/>
      <c r="H22" s="521"/>
      <c r="I22" s="521"/>
      <c r="J22" s="521"/>
      <c r="K22" s="521"/>
      <c r="L22" s="521"/>
      <c r="M22" s="608"/>
      <c r="N22" s="606"/>
    </row>
    <row r="23" spans="1:14" s="408" customFormat="1" ht="39" customHeight="1">
      <c r="A23" s="389">
        <v>2</v>
      </c>
      <c r="B23" s="390" t="s">
        <v>400</v>
      </c>
      <c r="C23" s="387"/>
      <c r="D23" s="519"/>
      <c r="E23" s="519"/>
      <c r="F23" s="519"/>
      <c r="G23" s="522"/>
      <c r="H23" s="522"/>
      <c r="I23" s="522"/>
      <c r="J23" s="609"/>
      <c r="K23" s="609"/>
      <c r="L23" s="609"/>
      <c r="M23" s="609"/>
      <c r="N23" s="606"/>
    </row>
    <row r="24" spans="1:14" s="386" customFormat="1" ht="26.25" customHeight="1">
      <c r="A24" s="395"/>
      <c r="B24" s="425" t="s">
        <v>401</v>
      </c>
      <c r="C24" s="391" t="s">
        <v>397</v>
      </c>
      <c r="D24" s="507"/>
      <c r="E24" s="507"/>
      <c r="F24" s="507"/>
      <c r="G24" s="523"/>
      <c r="H24" s="523"/>
      <c r="I24" s="523"/>
      <c r="J24" s="523"/>
      <c r="K24" s="523"/>
      <c r="L24" s="523"/>
      <c r="M24" s="518"/>
      <c r="N24" s="384"/>
    </row>
    <row r="25" spans="1:14" s="386" customFormat="1" ht="26.25" customHeight="1">
      <c r="A25" s="395"/>
      <c r="B25" s="583" t="s">
        <v>612</v>
      </c>
      <c r="C25" s="391" t="s">
        <v>397</v>
      </c>
      <c r="D25" s="507"/>
      <c r="E25" s="507"/>
      <c r="F25" s="507"/>
      <c r="G25" s="523"/>
      <c r="H25" s="523"/>
      <c r="I25" s="523"/>
      <c r="J25" s="523"/>
      <c r="K25" s="523"/>
      <c r="L25" s="523"/>
      <c r="M25" s="518"/>
      <c r="N25" s="384"/>
    </row>
    <row r="26" spans="1:14" s="386" customFormat="1" ht="26.25" customHeight="1">
      <c r="A26" s="395"/>
      <c r="B26" s="583" t="s">
        <v>613</v>
      </c>
      <c r="C26" s="391" t="s">
        <v>397</v>
      </c>
      <c r="D26" s="507"/>
      <c r="E26" s="507"/>
      <c r="F26" s="507"/>
      <c r="G26" s="523"/>
      <c r="H26" s="523"/>
      <c r="I26" s="523"/>
      <c r="J26" s="523"/>
      <c r="K26" s="523"/>
      <c r="L26" s="523"/>
      <c r="M26" s="518"/>
      <c r="N26" s="384"/>
    </row>
    <row r="27" spans="1:14" s="386" customFormat="1" ht="26.25" customHeight="1">
      <c r="A27" s="395"/>
      <c r="B27" s="583" t="s">
        <v>614</v>
      </c>
      <c r="C27" s="391" t="s">
        <v>397</v>
      </c>
      <c r="D27" s="507"/>
      <c r="E27" s="507"/>
      <c r="F27" s="507"/>
      <c r="G27" s="523"/>
      <c r="H27" s="523"/>
      <c r="I27" s="523"/>
      <c r="J27" s="523"/>
      <c r="K27" s="523"/>
      <c r="L27" s="523"/>
      <c r="M27" s="518"/>
      <c r="N27" s="384"/>
    </row>
    <row r="28" spans="1:14" s="612" customFormat="1" ht="38.25" customHeight="1">
      <c r="A28" s="610"/>
      <c r="B28" s="607" t="s">
        <v>73</v>
      </c>
      <c r="C28" s="424" t="s">
        <v>303</v>
      </c>
      <c r="D28" s="472"/>
      <c r="E28" s="472"/>
      <c r="F28" s="472"/>
      <c r="G28" s="467"/>
      <c r="H28" s="467"/>
      <c r="I28" s="467"/>
      <c r="J28" s="467"/>
      <c r="K28" s="467"/>
      <c r="L28" s="467"/>
      <c r="M28" s="518"/>
      <c r="N28" s="611"/>
    </row>
    <row r="29" spans="1:14" s="386" customFormat="1" ht="26.25" customHeight="1">
      <c r="A29" s="395"/>
      <c r="B29" s="583" t="s">
        <v>612</v>
      </c>
      <c r="C29" s="391" t="s">
        <v>397</v>
      </c>
      <c r="D29" s="507"/>
      <c r="E29" s="507"/>
      <c r="F29" s="507"/>
      <c r="G29" s="523"/>
      <c r="H29" s="523"/>
      <c r="I29" s="523"/>
      <c r="J29" s="523"/>
      <c r="K29" s="523"/>
      <c r="L29" s="523"/>
      <c r="M29" s="518"/>
      <c r="N29" s="384"/>
    </row>
    <row r="30" spans="1:14" s="386" customFormat="1" ht="26.25" customHeight="1">
      <c r="A30" s="395"/>
      <c r="B30" s="583" t="s">
        <v>613</v>
      </c>
      <c r="C30" s="391" t="s">
        <v>397</v>
      </c>
      <c r="D30" s="507"/>
      <c r="E30" s="507"/>
      <c r="F30" s="507"/>
      <c r="G30" s="523"/>
      <c r="H30" s="523"/>
      <c r="I30" s="523"/>
      <c r="J30" s="523"/>
      <c r="K30" s="523"/>
      <c r="L30" s="523"/>
      <c r="M30" s="518"/>
      <c r="N30" s="384"/>
    </row>
    <row r="31" spans="1:14" s="386" customFormat="1" ht="26.25" customHeight="1">
      <c r="A31" s="395"/>
      <c r="B31" s="583" t="s">
        <v>614</v>
      </c>
      <c r="C31" s="391" t="s">
        <v>397</v>
      </c>
      <c r="D31" s="507"/>
      <c r="E31" s="507"/>
      <c r="F31" s="507"/>
      <c r="G31" s="523"/>
      <c r="H31" s="523"/>
      <c r="I31" s="523"/>
      <c r="J31" s="523"/>
      <c r="K31" s="523"/>
      <c r="L31" s="523"/>
      <c r="M31" s="518"/>
      <c r="N31" s="384"/>
    </row>
    <row r="32" spans="1:13" s="386" customFormat="1" ht="36.75" customHeight="1">
      <c r="A32" s="395"/>
      <c r="B32" s="425" t="s">
        <v>402</v>
      </c>
      <c r="C32" s="424" t="str">
        <f>C18</f>
        <v> Người </v>
      </c>
      <c r="D32" s="507"/>
      <c r="E32" s="507"/>
      <c r="F32" s="507"/>
      <c r="G32" s="506"/>
      <c r="H32" s="506"/>
      <c r="I32" s="507"/>
      <c r="J32" s="507"/>
      <c r="K32" s="507"/>
      <c r="L32" s="507"/>
      <c r="M32" s="518"/>
    </row>
    <row r="33" spans="1:14" s="386" customFormat="1" ht="26.25" customHeight="1">
      <c r="A33" s="395"/>
      <c r="B33" s="583" t="s">
        <v>612</v>
      </c>
      <c r="C33" s="391" t="s">
        <v>397</v>
      </c>
      <c r="D33" s="507"/>
      <c r="E33" s="507"/>
      <c r="F33" s="507"/>
      <c r="G33" s="523"/>
      <c r="H33" s="523"/>
      <c r="I33" s="523"/>
      <c r="J33" s="523"/>
      <c r="K33" s="523"/>
      <c r="L33" s="523"/>
      <c r="M33" s="518"/>
      <c r="N33" s="384"/>
    </row>
    <row r="34" spans="1:14" s="386" customFormat="1" ht="26.25" customHeight="1">
      <c r="A34" s="395"/>
      <c r="B34" s="583" t="s">
        <v>613</v>
      </c>
      <c r="C34" s="391" t="s">
        <v>397</v>
      </c>
      <c r="D34" s="507"/>
      <c r="E34" s="507"/>
      <c r="F34" s="507"/>
      <c r="G34" s="523"/>
      <c r="H34" s="523"/>
      <c r="I34" s="523"/>
      <c r="J34" s="523"/>
      <c r="K34" s="523"/>
      <c r="L34" s="523"/>
      <c r="M34" s="518"/>
      <c r="N34" s="384"/>
    </row>
    <row r="35" spans="1:14" s="386" customFormat="1" ht="26.25" customHeight="1">
      <c r="A35" s="395"/>
      <c r="B35" s="583" t="s">
        <v>614</v>
      </c>
      <c r="C35" s="391" t="s">
        <v>397</v>
      </c>
      <c r="D35" s="507"/>
      <c r="E35" s="507"/>
      <c r="F35" s="507"/>
      <c r="G35" s="523"/>
      <c r="H35" s="523"/>
      <c r="I35" s="523"/>
      <c r="J35" s="523"/>
      <c r="K35" s="523"/>
      <c r="L35" s="523"/>
      <c r="M35" s="518"/>
      <c r="N35" s="384"/>
    </row>
    <row r="36" spans="1:13" s="612" customFormat="1" ht="39.75" customHeight="1">
      <c r="A36" s="610"/>
      <c r="B36" s="607" t="s">
        <v>403</v>
      </c>
      <c r="C36" s="424" t="s">
        <v>303</v>
      </c>
      <c r="D36" s="472"/>
      <c r="E36" s="472"/>
      <c r="F36" s="472"/>
      <c r="G36" s="473"/>
      <c r="H36" s="473"/>
      <c r="I36" s="473"/>
      <c r="J36" s="473"/>
      <c r="K36" s="473"/>
      <c r="L36" s="473"/>
      <c r="M36" s="518"/>
    </row>
    <row r="37" spans="1:14" s="386" customFormat="1" ht="26.25" customHeight="1">
      <c r="A37" s="395"/>
      <c r="B37" s="583" t="s">
        <v>612</v>
      </c>
      <c r="C37" s="391" t="s">
        <v>397</v>
      </c>
      <c r="D37" s="507"/>
      <c r="E37" s="507"/>
      <c r="F37" s="507"/>
      <c r="G37" s="523"/>
      <c r="H37" s="523"/>
      <c r="I37" s="523"/>
      <c r="J37" s="523"/>
      <c r="K37" s="523"/>
      <c r="L37" s="523"/>
      <c r="M37" s="518"/>
      <c r="N37" s="384"/>
    </row>
    <row r="38" spans="1:14" s="386" customFormat="1" ht="26.25" customHeight="1">
      <c r="A38" s="395"/>
      <c r="B38" s="583" t="s">
        <v>613</v>
      </c>
      <c r="C38" s="391" t="s">
        <v>397</v>
      </c>
      <c r="D38" s="507"/>
      <c r="E38" s="507"/>
      <c r="F38" s="507"/>
      <c r="G38" s="523"/>
      <c r="H38" s="523"/>
      <c r="I38" s="523"/>
      <c r="J38" s="523"/>
      <c r="K38" s="523"/>
      <c r="L38" s="523"/>
      <c r="M38" s="518"/>
      <c r="N38" s="384"/>
    </row>
    <row r="39" spans="1:14" s="386" customFormat="1" ht="26.25" customHeight="1">
      <c r="A39" s="395"/>
      <c r="B39" s="583" t="s">
        <v>614</v>
      </c>
      <c r="C39" s="391" t="s">
        <v>397</v>
      </c>
      <c r="D39" s="507"/>
      <c r="E39" s="507"/>
      <c r="F39" s="507"/>
      <c r="G39" s="523"/>
      <c r="H39" s="523"/>
      <c r="I39" s="523"/>
      <c r="J39" s="523"/>
      <c r="K39" s="523"/>
      <c r="L39" s="523"/>
      <c r="M39" s="518"/>
      <c r="N39" s="384"/>
    </row>
    <row r="40" spans="1:14" s="386" customFormat="1" ht="26.25" customHeight="1">
      <c r="A40" s="395"/>
      <c r="B40" s="593" t="s">
        <v>621</v>
      </c>
      <c r="C40" s="391" t="s">
        <v>616</v>
      </c>
      <c r="D40" s="613" t="s">
        <v>653</v>
      </c>
      <c r="E40" s="614"/>
      <c r="F40" s="614">
        <v>4500</v>
      </c>
      <c r="G40" s="615">
        <v>311</v>
      </c>
      <c r="H40" s="615">
        <v>964</v>
      </c>
      <c r="I40" s="615">
        <v>616</v>
      </c>
      <c r="J40" s="615">
        <v>1135</v>
      </c>
      <c r="K40" s="615">
        <v>1120</v>
      </c>
      <c r="L40" s="615">
        <v>4146</v>
      </c>
      <c r="M40" s="616" t="s">
        <v>42</v>
      </c>
      <c r="N40" s="384"/>
    </row>
    <row r="41" spans="1:14" s="386" customFormat="1" ht="26.25" customHeight="1">
      <c r="A41" s="395"/>
      <c r="B41" s="583" t="s">
        <v>404</v>
      </c>
      <c r="C41" s="391" t="s">
        <v>303</v>
      </c>
      <c r="D41" s="507"/>
      <c r="E41" s="507"/>
      <c r="F41" s="507"/>
      <c r="G41" s="523"/>
      <c r="H41" s="523"/>
      <c r="I41" s="523"/>
      <c r="J41" s="523"/>
      <c r="K41" s="523"/>
      <c r="L41" s="523"/>
      <c r="M41" s="604"/>
      <c r="N41" s="384"/>
    </row>
    <row r="42" spans="1:14" s="386" customFormat="1" ht="30" customHeight="1">
      <c r="A42" s="389" t="s">
        <v>115</v>
      </c>
      <c r="B42" s="390" t="s">
        <v>618</v>
      </c>
      <c r="C42" s="390"/>
      <c r="D42" s="391"/>
      <c r="E42" s="391"/>
      <c r="F42" s="391"/>
      <c r="G42" s="392"/>
      <c r="H42" s="392"/>
      <c r="I42" s="392"/>
      <c r="J42" s="392"/>
      <c r="K42" s="392"/>
      <c r="L42" s="392"/>
      <c r="M42" s="392"/>
      <c r="N42" s="408"/>
    </row>
    <row r="43" spans="1:14" s="386" customFormat="1" ht="26.25" customHeight="1">
      <c r="A43" s="395">
        <v>1</v>
      </c>
      <c r="B43" s="593" t="s">
        <v>631</v>
      </c>
      <c r="C43" s="391" t="s">
        <v>303</v>
      </c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384"/>
    </row>
    <row r="44" spans="1:14" s="386" customFormat="1" ht="26.25" customHeight="1">
      <c r="A44" s="395">
        <v>2</v>
      </c>
      <c r="B44" s="593" t="s">
        <v>632</v>
      </c>
      <c r="C44" s="391" t="s">
        <v>303</v>
      </c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384"/>
    </row>
    <row r="45" spans="1:14" s="386" customFormat="1" ht="26.25" customHeight="1">
      <c r="A45" s="395">
        <v>3</v>
      </c>
      <c r="B45" s="593" t="s">
        <v>633</v>
      </c>
      <c r="C45" s="391" t="s">
        <v>303</v>
      </c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384"/>
    </row>
    <row r="46" spans="1:13" ht="16.5">
      <c r="A46" s="398"/>
      <c r="B46" s="399"/>
      <c r="C46" s="399"/>
      <c r="D46" s="385"/>
      <c r="E46" s="385"/>
      <c r="F46" s="385"/>
      <c r="G46" s="386"/>
      <c r="H46" s="386"/>
      <c r="I46" s="386"/>
      <c r="J46" s="386"/>
      <c r="K46" s="386"/>
      <c r="L46" s="386"/>
      <c r="M46" s="386"/>
    </row>
    <row r="47" spans="1:13" ht="16.5">
      <c r="A47" s="398"/>
      <c r="B47" s="399"/>
      <c r="C47" s="399"/>
      <c r="D47" s="385"/>
      <c r="E47" s="385"/>
      <c r="F47" s="385"/>
      <c r="G47" s="386"/>
      <c r="H47" s="386"/>
      <c r="I47" s="386"/>
      <c r="J47" s="386"/>
      <c r="K47" s="386"/>
      <c r="L47" s="386"/>
      <c r="M47" s="386"/>
    </row>
    <row r="48" spans="1:13" ht="16.5">
      <c r="A48" s="398"/>
      <c r="B48" s="399"/>
      <c r="C48" s="399"/>
      <c r="D48" s="385"/>
      <c r="E48" s="385"/>
      <c r="F48" s="385"/>
      <c r="G48" s="386"/>
      <c r="H48" s="386"/>
      <c r="I48" s="386"/>
      <c r="J48" s="386"/>
      <c r="K48" s="386"/>
      <c r="L48" s="386"/>
      <c r="M48" s="386"/>
    </row>
    <row r="49" spans="1:13" ht="16.5">
      <c r="A49" s="398"/>
      <c r="B49" s="399"/>
      <c r="C49" s="399"/>
      <c r="D49" s="385"/>
      <c r="E49" s="385"/>
      <c r="F49" s="385"/>
      <c r="G49" s="386"/>
      <c r="H49" s="386"/>
      <c r="I49" s="386"/>
      <c r="J49" s="386"/>
      <c r="K49" s="386"/>
      <c r="L49" s="386"/>
      <c r="M49" s="386"/>
    </row>
    <row r="50" spans="1:13" ht="16.5">
      <c r="A50" s="398"/>
      <c r="B50" s="399"/>
      <c r="C50" s="399"/>
      <c r="D50" s="385"/>
      <c r="E50" s="385"/>
      <c r="F50" s="385"/>
      <c r="G50" s="386"/>
      <c r="H50" s="386"/>
      <c r="I50" s="386"/>
      <c r="J50" s="386"/>
      <c r="K50" s="386"/>
      <c r="L50" s="386"/>
      <c r="M50" s="386"/>
    </row>
    <row r="51" spans="1:13" ht="16.5">
      <c r="A51" s="398"/>
      <c r="B51" s="399"/>
      <c r="C51" s="399"/>
      <c r="D51" s="385"/>
      <c r="E51" s="385"/>
      <c r="F51" s="385"/>
      <c r="G51" s="386"/>
      <c r="H51" s="386"/>
      <c r="I51" s="386"/>
      <c r="J51" s="386"/>
      <c r="K51" s="386"/>
      <c r="L51" s="386"/>
      <c r="M51" s="386"/>
    </row>
    <row r="52" spans="1:13" ht="16.5">
      <c r="A52" s="398"/>
      <c r="B52" s="399"/>
      <c r="C52" s="399"/>
      <c r="D52" s="385"/>
      <c r="E52" s="385"/>
      <c r="F52" s="385"/>
      <c r="G52" s="386"/>
      <c r="H52" s="386"/>
      <c r="I52" s="386"/>
      <c r="J52" s="386"/>
      <c r="K52" s="386"/>
      <c r="L52" s="386"/>
      <c r="M52" s="386"/>
    </row>
    <row r="53" spans="1:13" ht="16.5">
      <c r="A53" s="398"/>
      <c r="B53" s="399"/>
      <c r="C53" s="399"/>
      <c r="D53" s="385"/>
      <c r="E53" s="385"/>
      <c r="F53" s="385"/>
      <c r="G53" s="386"/>
      <c r="H53" s="386"/>
      <c r="I53" s="386"/>
      <c r="J53" s="386"/>
      <c r="K53" s="386"/>
      <c r="L53" s="386"/>
      <c r="M53" s="386"/>
    </row>
    <row r="54" spans="1:13" ht="16.5">
      <c r="A54" s="398"/>
      <c r="B54" s="399"/>
      <c r="C54" s="399"/>
      <c r="D54" s="385"/>
      <c r="E54" s="385"/>
      <c r="F54" s="385"/>
      <c r="G54" s="386"/>
      <c r="H54" s="386"/>
      <c r="I54" s="386"/>
      <c r="J54" s="386"/>
      <c r="K54" s="386"/>
      <c r="L54" s="386"/>
      <c r="M54" s="386"/>
    </row>
    <row r="55" spans="1:13" ht="16.5">
      <c r="A55" s="398"/>
      <c r="B55" s="399"/>
      <c r="C55" s="399"/>
      <c r="D55" s="385"/>
      <c r="E55" s="385"/>
      <c r="F55" s="385"/>
      <c r="G55" s="386"/>
      <c r="H55" s="386"/>
      <c r="I55" s="386"/>
      <c r="J55" s="386"/>
      <c r="K55" s="386"/>
      <c r="L55" s="386"/>
      <c r="M55" s="386"/>
    </row>
    <row r="56" spans="1:13" ht="16.5">
      <c r="A56" s="398"/>
      <c r="B56" s="399"/>
      <c r="C56" s="399"/>
      <c r="D56" s="385"/>
      <c r="E56" s="385"/>
      <c r="F56" s="385"/>
      <c r="G56" s="386"/>
      <c r="H56" s="386"/>
      <c r="I56" s="386"/>
      <c r="J56" s="386"/>
      <c r="K56" s="386"/>
      <c r="L56" s="386"/>
      <c r="M56" s="386"/>
    </row>
    <row r="57" spans="1:13" ht="16.5">
      <c r="A57" s="398"/>
      <c r="B57" s="399"/>
      <c r="C57" s="399"/>
      <c r="D57" s="385"/>
      <c r="E57" s="385"/>
      <c r="F57" s="385"/>
      <c r="G57" s="386"/>
      <c r="H57" s="386"/>
      <c r="I57" s="386"/>
      <c r="J57" s="386"/>
      <c r="K57" s="386"/>
      <c r="L57" s="386"/>
      <c r="M57" s="386"/>
    </row>
  </sheetData>
  <sheetProtection/>
  <mergeCells count="13">
    <mergeCell ref="O5:O6"/>
    <mergeCell ref="L5:L6"/>
    <mergeCell ref="M5:M6"/>
    <mergeCell ref="K1:M1"/>
    <mergeCell ref="A3:M3"/>
    <mergeCell ref="B2:M2"/>
    <mergeCell ref="G5:K5"/>
    <mergeCell ref="A5:A6"/>
    <mergeCell ref="N9:N16"/>
    <mergeCell ref="B5:B6"/>
    <mergeCell ref="C5:C6"/>
    <mergeCell ref="D5:D6"/>
    <mergeCell ref="F5:F6"/>
  </mergeCells>
  <printOptions horizontalCentered="1"/>
  <pageMargins left="0.669291338582677" right="0.47244094488189" top="0.393700787401575" bottom="0.511811023622047" header="0.236220472440945" footer="0.590551181102362"/>
  <pageSetup fitToHeight="0" horizontalDpi="600" verticalDpi="600" orientation="landscape" paperSize="9" scale="75" r:id="rId1"/>
  <headerFooter alignWithMargins="0">
    <oddFooter>&amp;R&amp;"Times New Roman,Regular"&amp;12&amp;P/&amp;N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6"/>
  <sheetViews>
    <sheetView view="pageBreakPreview" zoomScale="70" zoomScaleNormal="70" zoomScaleSheetLayoutView="70" zoomScalePageLayoutView="0" workbookViewId="0" topLeftCell="A1">
      <pane xSplit="9" ySplit="6" topLeftCell="J40" activePane="bottomRight" state="frozen"/>
      <selection pane="topLeft" activeCell="A1" sqref="A1"/>
      <selection pane="topRight" activeCell="J1" sqref="J1"/>
      <selection pane="bottomLeft" activeCell="A7" sqref="A7"/>
      <selection pane="bottomRight" activeCell="G12" sqref="G12"/>
    </sheetView>
  </sheetViews>
  <sheetFormatPr defaultColWidth="9.140625" defaultRowHeight="12.75"/>
  <cols>
    <col min="1" max="1" width="5.8515625" style="405" customWidth="1"/>
    <col min="2" max="2" width="38.57421875" style="382" customWidth="1"/>
    <col min="3" max="3" width="14.57421875" style="383" customWidth="1"/>
    <col min="4" max="5" width="16.00390625" style="383" customWidth="1"/>
    <col min="6" max="6" width="16.00390625" style="383" hidden="1" customWidth="1"/>
    <col min="7" max="7" width="15.00390625" style="381" customWidth="1"/>
    <col min="8" max="8" width="15.28125" style="381" customWidth="1"/>
    <col min="9" max="9" width="13.421875" style="381" customWidth="1"/>
    <col min="10" max="10" width="14.57421875" style="381" customWidth="1"/>
    <col min="11" max="11" width="15.00390625" style="381" customWidth="1"/>
    <col min="12" max="12" width="13.421875" style="381" customWidth="1"/>
    <col min="13" max="13" width="19.00390625" style="381" customWidth="1"/>
    <col min="14" max="14" width="12.7109375" style="381" customWidth="1"/>
    <col min="15" max="16384" width="9.140625" style="381" customWidth="1"/>
  </cols>
  <sheetData>
    <row r="1" spans="2:13" s="461" customFormat="1" ht="24.75" customHeight="1">
      <c r="B1" s="458" t="s">
        <v>382</v>
      </c>
      <c r="C1" s="462"/>
      <c r="D1" s="462"/>
      <c r="E1" s="462"/>
      <c r="F1" s="462"/>
      <c r="I1" s="465"/>
      <c r="J1" s="974" t="s">
        <v>332</v>
      </c>
      <c r="K1" s="974"/>
      <c r="M1" s="477" t="s">
        <v>566</v>
      </c>
    </row>
    <row r="2" spans="1:13" ht="28.5" customHeight="1">
      <c r="A2" s="381"/>
      <c r="B2" s="966" t="str">
        <f>+'BM4'!B2:L2</f>
        <v>Huyện Tuần Giáo</v>
      </c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13" ht="25.5" customHeight="1">
      <c r="A3" s="967" t="s">
        <v>406</v>
      </c>
      <c r="B3" s="967"/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967"/>
    </row>
    <row r="4" spans="1:11" ht="18" customHeight="1">
      <c r="A4" s="500"/>
      <c r="B4" s="500"/>
      <c r="C4" s="500"/>
      <c r="D4" s="500"/>
      <c r="E4" s="500"/>
      <c r="F4" s="500"/>
      <c r="G4" s="500"/>
      <c r="H4" s="500"/>
      <c r="I4" s="500"/>
      <c r="J4" s="500"/>
      <c r="K4" s="500"/>
    </row>
    <row r="5" spans="1:19" ht="49.5" customHeight="1">
      <c r="A5" s="986" t="s">
        <v>0</v>
      </c>
      <c r="B5" s="986" t="s">
        <v>287</v>
      </c>
      <c r="C5" s="986" t="s">
        <v>184</v>
      </c>
      <c r="D5" s="986" t="s">
        <v>344</v>
      </c>
      <c r="E5" s="986" t="s">
        <v>329</v>
      </c>
      <c r="F5" s="391"/>
      <c r="G5" s="985" t="s">
        <v>477</v>
      </c>
      <c r="H5" s="985"/>
      <c r="I5" s="985"/>
      <c r="J5" s="985"/>
      <c r="K5" s="985"/>
      <c r="L5" s="961" t="s">
        <v>478</v>
      </c>
      <c r="M5" s="961" t="s">
        <v>479</v>
      </c>
      <c r="N5" s="985" t="s">
        <v>477</v>
      </c>
      <c r="O5" s="985"/>
      <c r="P5" s="985"/>
      <c r="Q5" s="985"/>
      <c r="R5" s="985"/>
      <c r="S5" s="381" t="s">
        <v>42</v>
      </c>
    </row>
    <row r="6" spans="1:19" s="388" customFormat="1" ht="49.5" customHeight="1">
      <c r="A6" s="986"/>
      <c r="B6" s="986"/>
      <c r="C6" s="986"/>
      <c r="D6" s="986"/>
      <c r="E6" s="986"/>
      <c r="F6" s="387" t="s">
        <v>144</v>
      </c>
      <c r="G6" s="387" t="s">
        <v>701</v>
      </c>
      <c r="H6" s="387" t="s">
        <v>702</v>
      </c>
      <c r="I6" s="387" t="s">
        <v>703</v>
      </c>
      <c r="J6" s="387" t="s">
        <v>704</v>
      </c>
      <c r="K6" s="387" t="s">
        <v>705</v>
      </c>
      <c r="L6" s="961"/>
      <c r="M6" s="961"/>
      <c r="N6" s="387" t="s">
        <v>324</v>
      </c>
      <c r="O6" s="387" t="s">
        <v>325</v>
      </c>
      <c r="P6" s="387" t="s">
        <v>326</v>
      </c>
      <c r="Q6" s="387" t="s">
        <v>327</v>
      </c>
      <c r="R6" s="387" t="s">
        <v>328</v>
      </c>
      <c r="S6" s="388" t="s">
        <v>36</v>
      </c>
    </row>
    <row r="7" spans="1:13" s="408" customFormat="1" ht="36.75" customHeight="1">
      <c r="A7" s="389" t="s">
        <v>3</v>
      </c>
      <c r="B7" s="394" t="s">
        <v>407</v>
      </c>
      <c r="C7" s="387"/>
      <c r="D7" s="625"/>
      <c r="E7" s="625"/>
      <c r="F7" s="625"/>
      <c r="G7" s="626"/>
      <c r="H7" s="627"/>
      <c r="I7" s="627"/>
      <c r="J7" s="627"/>
      <c r="K7" s="627"/>
      <c r="L7" s="628"/>
      <c r="M7" s="389"/>
    </row>
    <row r="8" spans="1:13" s="386" customFormat="1" ht="33" customHeight="1">
      <c r="A8" s="395">
        <v>1</v>
      </c>
      <c r="B8" s="583" t="s">
        <v>408</v>
      </c>
      <c r="C8" s="391" t="s">
        <v>409</v>
      </c>
      <c r="D8" s="603">
        <v>81701</v>
      </c>
      <c r="E8" s="603">
        <v>86000</v>
      </c>
      <c r="F8" s="605">
        <v>547378</v>
      </c>
      <c r="G8" s="605">
        <v>82752</v>
      </c>
      <c r="H8" s="605">
        <v>83883</v>
      </c>
      <c r="I8" s="605">
        <v>85408</v>
      </c>
      <c r="J8" s="605">
        <v>88294</v>
      </c>
      <c r="K8" s="605">
        <v>89625</v>
      </c>
      <c r="L8" s="605">
        <v>89618</v>
      </c>
      <c r="M8" s="395" t="s">
        <v>42</v>
      </c>
    </row>
    <row r="9" spans="1:13" s="612" customFormat="1" ht="33" customHeight="1">
      <c r="A9" s="395"/>
      <c r="B9" s="821" t="s">
        <v>410</v>
      </c>
      <c r="C9" s="629" t="s">
        <v>409</v>
      </c>
      <c r="D9" s="822">
        <v>73844</v>
      </c>
      <c r="E9" s="822">
        <v>77400</v>
      </c>
      <c r="F9" s="822">
        <v>464781.944068</v>
      </c>
      <c r="G9" s="822">
        <v>74791</v>
      </c>
      <c r="H9" s="822">
        <v>75833</v>
      </c>
      <c r="I9" s="822">
        <v>77340</v>
      </c>
      <c r="J9" s="822">
        <v>80124</v>
      </c>
      <c r="K9" s="823">
        <v>81774</v>
      </c>
      <c r="L9" s="823">
        <v>81774</v>
      </c>
      <c r="M9" s="395" t="s">
        <v>42</v>
      </c>
    </row>
    <row r="10" spans="1:13" s="612" customFormat="1" ht="33" customHeight="1">
      <c r="A10" s="395">
        <v>2</v>
      </c>
      <c r="B10" s="824" t="s">
        <v>546</v>
      </c>
      <c r="C10" s="825" t="s">
        <v>547</v>
      </c>
      <c r="D10" s="822">
        <v>71</v>
      </c>
      <c r="E10" s="822">
        <v>75</v>
      </c>
      <c r="F10" s="822"/>
      <c r="G10" s="822">
        <v>72</v>
      </c>
      <c r="H10" s="822">
        <v>73</v>
      </c>
      <c r="I10" s="822">
        <v>75</v>
      </c>
      <c r="J10" s="822">
        <v>77</v>
      </c>
      <c r="K10" s="826">
        <v>78</v>
      </c>
      <c r="L10" s="826">
        <v>78</v>
      </c>
      <c r="M10" s="395" t="s">
        <v>42</v>
      </c>
    </row>
    <row r="11" spans="1:13" s="612" customFormat="1" ht="33" customHeight="1">
      <c r="A11" s="610"/>
      <c r="B11" s="425" t="s">
        <v>411</v>
      </c>
      <c r="C11" s="424" t="s">
        <v>578</v>
      </c>
      <c r="D11" s="923">
        <v>0.3</v>
      </c>
      <c r="E11" s="923">
        <v>0.3</v>
      </c>
      <c r="F11" s="924">
        <v>0.4</v>
      </c>
      <c r="G11" s="827">
        <v>0.8</v>
      </c>
      <c r="H11" s="827">
        <v>0.3</v>
      </c>
      <c r="I11" s="827">
        <v>2</v>
      </c>
      <c r="J11" s="827">
        <v>1.8</v>
      </c>
      <c r="K11" s="827">
        <v>0.3</v>
      </c>
      <c r="L11" s="827">
        <v>0.3</v>
      </c>
      <c r="M11" s="395" t="s">
        <v>36</v>
      </c>
    </row>
    <row r="12" spans="1:13" s="612" customFormat="1" ht="52.5" customHeight="1">
      <c r="A12" s="610"/>
      <c r="B12" s="378" t="s">
        <v>549</v>
      </c>
      <c r="C12" s="526" t="s">
        <v>548</v>
      </c>
      <c r="D12" s="828">
        <v>107</v>
      </c>
      <c r="E12" s="828">
        <v>107</v>
      </c>
      <c r="F12" s="829"/>
      <c r="G12" s="828">
        <v>110</v>
      </c>
      <c r="H12" s="828">
        <v>108</v>
      </c>
      <c r="I12" s="828">
        <v>107</v>
      </c>
      <c r="J12" s="828">
        <v>104</v>
      </c>
      <c r="K12" s="828">
        <v>110</v>
      </c>
      <c r="L12" s="828">
        <v>110</v>
      </c>
      <c r="M12" s="395" t="s">
        <v>42</v>
      </c>
    </row>
    <row r="13" spans="1:13" s="612" customFormat="1" ht="33" customHeight="1">
      <c r="A13" s="610"/>
      <c r="B13" s="830" t="s">
        <v>645</v>
      </c>
      <c r="C13" s="424" t="s">
        <v>303</v>
      </c>
      <c r="D13" s="831">
        <v>1.33</v>
      </c>
      <c r="E13" s="831">
        <v>1.2</v>
      </c>
      <c r="F13" s="827">
        <v>1.73</v>
      </c>
      <c r="G13" s="827">
        <v>1.29</v>
      </c>
      <c r="H13" s="827">
        <v>1.37</v>
      </c>
      <c r="I13" s="827">
        <v>1.82</v>
      </c>
      <c r="J13" s="827">
        <v>3.3</v>
      </c>
      <c r="K13" s="827">
        <v>1.5</v>
      </c>
      <c r="L13" s="827">
        <v>1.5</v>
      </c>
      <c r="M13" s="395" t="s">
        <v>42</v>
      </c>
    </row>
    <row r="14" spans="1:13" s="612" customFormat="1" ht="33" customHeight="1">
      <c r="A14" s="610"/>
      <c r="B14" s="830" t="s">
        <v>302</v>
      </c>
      <c r="C14" s="526" t="s">
        <v>70</v>
      </c>
      <c r="D14" s="832">
        <v>67.3</v>
      </c>
      <c r="E14" s="832">
        <v>71</v>
      </c>
      <c r="F14" s="833"/>
      <c r="G14" s="833">
        <v>67.5</v>
      </c>
      <c r="H14" s="833">
        <v>67.6</v>
      </c>
      <c r="I14" s="833">
        <v>67.9</v>
      </c>
      <c r="J14" s="833">
        <v>68.2</v>
      </c>
      <c r="K14" s="833">
        <v>68.5</v>
      </c>
      <c r="L14" s="833">
        <v>68.5</v>
      </c>
      <c r="M14" s="395" t="s">
        <v>42</v>
      </c>
    </row>
    <row r="15" spans="1:13" s="408" customFormat="1" ht="32.25" customHeight="1">
      <c r="A15" s="389" t="s">
        <v>11</v>
      </c>
      <c r="B15" s="390" t="s">
        <v>412</v>
      </c>
      <c r="C15" s="387"/>
      <c r="D15" s="471"/>
      <c r="E15" s="471"/>
      <c r="F15" s="631"/>
      <c r="G15" s="471"/>
      <c r="H15" s="471"/>
      <c r="I15" s="471"/>
      <c r="J15" s="471"/>
      <c r="K15" s="471"/>
      <c r="L15" s="601"/>
      <c r="M15" s="389"/>
    </row>
    <row r="16" spans="1:13" s="633" customFormat="1" ht="34.5" customHeight="1">
      <c r="A16" s="395">
        <v>1</v>
      </c>
      <c r="B16" s="585" t="s">
        <v>413</v>
      </c>
      <c r="C16" s="391" t="s">
        <v>409</v>
      </c>
      <c r="D16" s="632">
        <v>47446.08</v>
      </c>
      <c r="E16" s="632">
        <v>51587.88</v>
      </c>
      <c r="F16" s="632"/>
      <c r="G16" s="632">
        <v>49206</v>
      </c>
      <c r="H16" s="632">
        <v>49660</v>
      </c>
      <c r="I16" s="632">
        <v>49993</v>
      </c>
      <c r="J16" s="632">
        <v>52093</v>
      </c>
      <c r="K16" s="632">
        <v>52744</v>
      </c>
      <c r="L16" s="632">
        <v>52744</v>
      </c>
      <c r="M16" s="395" t="s">
        <v>36</v>
      </c>
    </row>
    <row r="17" spans="1:13" s="633" customFormat="1" ht="48" customHeight="1">
      <c r="A17" s="395">
        <v>2</v>
      </c>
      <c r="B17" s="585" t="s">
        <v>414</v>
      </c>
      <c r="C17" s="391" t="s">
        <v>409</v>
      </c>
      <c r="D17" s="632">
        <v>45073.776</v>
      </c>
      <c r="E17" s="632">
        <v>49008.486</v>
      </c>
      <c r="F17" s="632"/>
      <c r="G17" s="632">
        <v>48221.88</v>
      </c>
      <c r="H17" s="632">
        <v>48666.8</v>
      </c>
      <c r="I17" s="632">
        <v>48993.14</v>
      </c>
      <c r="J17" s="632">
        <v>51051.14</v>
      </c>
      <c r="K17" s="632">
        <v>51689.12</v>
      </c>
      <c r="L17" s="632">
        <v>51689.12</v>
      </c>
      <c r="M17" s="395" t="s">
        <v>36</v>
      </c>
    </row>
    <row r="18" spans="1:13" s="633" customFormat="1" ht="34.5" customHeight="1">
      <c r="A18" s="610"/>
      <c r="B18" s="607" t="s">
        <v>415</v>
      </c>
      <c r="C18" s="629"/>
      <c r="D18" s="634"/>
      <c r="E18" s="634"/>
      <c r="F18" s="634"/>
      <c r="G18" s="634"/>
      <c r="H18" s="634"/>
      <c r="I18" s="634"/>
      <c r="J18" s="634"/>
      <c r="K18" s="634"/>
      <c r="L18" s="634"/>
      <c r="M18" s="635"/>
    </row>
    <row r="19" spans="1:22" s="633" customFormat="1" ht="34.5" customHeight="1">
      <c r="A19" s="395"/>
      <c r="B19" s="425" t="s">
        <v>416</v>
      </c>
      <c r="C19" s="424" t="s">
        <v>303</v>
      </c>
      <c r="D19" s="433">
        <v>94.2</v>
      </c>
      <c r="E19" s="433">
        <v>86.3</v>
      </c>
      <c r="F19" s="433">
        <v>36.74989474799999</v>
      </c>
      <c r="G19" s="565">
        <v>91</v>
      </c>
      <c r="H19" s="565">
        <v>89</v>
      </c>
      <c r="I19" s="565">
        <v>86</v>
      </c>
      <c r="J19" s="565">
        <v>85.5</v>
      </c>
      <c r="K19" s="565">
        <v>83</v>
      </c>
      <c r="L19" s="565">
        <f>+(K19+J19+I19+H19+G19)/5</f>
        <v>86.9</v>
      </c>
      <c r="M19" s="395" t="s">
        <v>36</v>
      </c>
      <c r="O19" s="636"/>
      <c r="P19" s="636"/>
      <c r="Q19" s="636"/>
      <c r="R19" s="636"/>
      <c r="S19" s="636"/>
      <c r="T19" s="636"/>
      <c r="U19" s="636"/>
      <c r="V19" s="636"/>
    </row>
    <row r="20" spans="1:22" s="633" customFormat="1" ht="34.5" customHeight="1">
      <c r="A20" s="395"/>
      <c r="B20" s="425" t="s">
        <v>43</v>
      </c>
      <c r="C20" s="424" t="s">
        <v>303</v>
      </c>
      <c r="D20" s="433">
        <v>2.8</v>
      </c>
      <c r="E20" s="433">
        <v>7.720000000000001</v>
      </c>
      <c r="F20" s="433">
        <v>8.6799384</v>
      </c>
      <c r="G20" s="565">
        <v>5.5</v>
      </c>
      <c r="H20" s="565">
        <v>6.8</v>
      </c>
      <c r="I20" s="565">
        <v>7.9</v>
      </c>
      <c r="J20" s="565">
        <v>9.8</v>
      </c>
      <c r="K20" s="565">
        <v>10</v>
      </c>
      <c r="L20" s="565">
        <f>+(K20+J20+I20+H20+G20)/5</f>
        <v>8</v>
      </c>
      <c r="M20" s="395" t="s">
        <v>36</v>
      </c>
      <c r="O20" s="636"/>
      <c r="P20" s="636"/>
      <c r="Q20" s="636"/>
      <c r="R20" s="636"/>
      <c r="S20" s="636"/>
      <c r="T20" s="636"/>
      <c r="U20" s="636"/>
      <c r="V20" s="636"/>
    </row>
    <row r="21" spans="1:22" s="633" customFormat="1" ht="34.5" customHeight="1">
      <c r="A21" s="395"/>
      <c r="B21" s="425" t="s">
        <v>44</v>
      </c>
      <c r="C21" s="424" t="s">
        <v>303</v>
      </c>
      <c r="D21" s="433">
        <v>3</v>
      </c>
      <c r="E21" s="433">
        <v>4.59</v>
      </c>
      <c r="F21" s="433">
        <v>2.7920468520000066</v>
      </c>
      <c r="G21" s="565">
        <f>100-G19-G20</f>
        <v>3.5</v>
      </c>
      <c r="H21" s="565">
        <f>100-H19-H20</f>
        <v>4.2</v>
      </c>
      <c r="I21" s="565">
        <f>100-I19-I20</f>
        <v>6.1</v>
      </c>
      <c r="J21" s="565">
        <f>100-J19-J20</f>
        <v>4.699999999999999</v>
      </c>
      <c r="K21" s="565">
        <f>100-K19-K20</f>
        <v>7</v>
      </c>
      <c r="L21" s="565">
        <f>+(K21+J21+I21+H21+G21)/5</f>
        <v>5.1</v>
      </c>
      <c r="M21" s="395" t="s">
        <v>36</v>
      </c>
      <c r="O21" s="636"/>
      <c r="P21" s="636"/>
      <c r="Q21" s="636"/>
      <c r="R21" s="636"/>
      <c r="S21" s="636"/>
      <c r="T21" s="636"/>
      <c r="U21" s="636"/>
      <c r="V21" s="636"/>
    </row>
    <row r="22" spans="1:22" s="633" customFormat="1" ht="34.5" customHeight="1">
      <c r="A22" s="395">
        <v>3</v>
      </c>
      <c r="B22" s="585" t="s">
        <v>417</v>
      </c>
      <c r="C22" s="391" t="s">
        <v>397</v>
      </c>
      <c r="D22" s="637">
        <v>4710</v>
      </c>
      <c r="E22" s="637">
        <v>5000</v>
      </c>
      <c r="F22" s="631">
        <v>1100</v>
      </c>
      <c r="G22" s="631">
        <v>1100</v>
      </c>
      <c r="H22" s="631">
        <v>1096</v>
      </c>
      <c r="I22" s="631">
        <v>1100</v>
      </c>
      <c r="J22" s="631">
        <v>1000</v>
      </c>
      <c r="K22" s="638">
        <v>1000</v>
      </c>
      <c r="L22" s="639">
        <v>5296</v>
      </c>
      <c r="M22" s="395" t="s">
        <v>36</v>
      </c>
      <c r="O22" s="636"/>
      <c r="P22" s="636"/>
      <c r="Q22" s="636"/>
      <c r="R22" s="636"/>
      <c r="S22" s="636"/>
      <c r="T22" s="636"/>
      <c r="U22" s="636"/>
      <c r="V22" s="636"/>
    </row>
    <row r="23" spans="1:13" s="408" customFormat="1" ht="36" customHeight="1">
      <c r="A23" s="389" t="s">
        <v>15</v>
      </c>
      <c r="B23" s="390" t="s">
        <v>418</v>
      </c>
      <c r="C23" s="387"/>
      <c r="D23" s="471"/>
      <c r="E23" s="471"/>
      <c r="F23" s="471"/>
      <c r="G23" s="640"/>
      <c r="H23" s="640"/>
      <c r="I23" s="640"/>
      <c r="J23" s="640"/>
      <c r="K23" s="640"/>
      <c r="L23" s="628"/>
      <c r="M23" s="389"/>
    </row>
    <row r="24" spans="1:13" s="386" customFormat="1" ht="31.5" customHeight="1">
      <c r="A24" s="395"/>
      <c r="B24" s="585" t="s">
        <v>419</v>
      </c>
      <c r="C24" s="391" t="s">
        <v>420</v>
      </c>
      <c r="D24" s="564">
        <v>3</v>
      </c>
      <c r="E24" s="564">
        <v>6</v>
      </c>
      <c r="F24" s="641"/>
      <c r="G24" s="564">
        <v>1</v>
      </c>
      <c r="H24" s="564">
        <v>1</v>
      </c>
      <c r="I24" s="564">
        <v>2</v>
      </c>
      <c r="J24" s="564">
        <v>1</v>
      </c>
      <c r="K24" s="564">
        <v>1</v>
      </c>
      <c r="L24" s="392">
        <f>SUM(G24:K24)/5</f>
        <v>1.2</v>
      </c>
      <c r="M24" s="395" t="s">
        <v>42</v>
      </c>
    </row>
    <row r="25" spans="1:13" s="408" customFormat="1" ht="31.5" customHeight="1">
      <c r="A25" s="389" t="s">
        <v>18</v>
      </c>
      <c r="B25" s="390" t="s">
        <v>648</v>
      </c>
      <c r="C25" s="387"/>
      <c r="D25" s="471"/>
      <c r="E25" s="471"/>
      <c r="F25" s="471"/>
      <c r="G25" s="640"/>
      <c r="H25" s="640"/>
      <c r="I25" s="640"/>
      <c r="J25" s="640"/>
      <c r="K25" s="640"/>
      <c r="L25" s="601"/>
      <c r="M25" s="389"/>
    </row>
    <row r="26" spans="1:13" s="386" customFormat="1" ht="33.75" customHeight="1">
      <c r="A26" s="434">
        <v>1</v>
      </c>
      <c r="B26" s="504" t="s">
        <v>421</v>
      </c>
      <c r="C26" s="436" t="s">
        <v>5</v>
      </c>
      <c r="D26" s="642">
        <v>36.8</v>
      </c>
      <c r="E26" s="642">
        <v>63.2</v>
      </c>
      <c r="F26" s="642"/>
      <c r="G26" s="584">
        <v>42.1</v>
      </c>
      <c r="H26" s="584">
        <v>63.2</v>
      </c>
      <c r="I26" s="584">
        <v>84.2</v>
      </c>
      <c r="J26" s="584">
        <v>63.2</v>
      </c>
      <c r="K26" s="584">
        <v>63.2</v>
      </c>
      <c r="L26" s="433">
        <v>63.2</v>
      </c>
      <c r="M26" s="395" t="s">
        <v>36</v>
      </c>
    </row>
    <row r="27" spans="1:13" s="386" customFormat="1" ht="35.25" customHeight="1">
      <c r="A27" s="434">
        <v>2</v>
      </c>
      <c r="B27" s="504" t="s">
        <v>422</v>
      </c>
      <c r="C27" s="436" t="s">
        <v>5</v>
      </c>
      <c r="D27" s="642">
        <v>82</v>
      </c>
      <c r="E27" s="642">
        <v>98</v>
      </c>
      <c r="F27" s="642"/>
      <c r="G27" s="584">
        <v>96</v>
      </c>
      <c r="H27" s="584">
        <v>96.5</v>
      </c>
      <c r="I27" s="584">
        <v>97</v>
      </c>
      <c r="J27" s="584">
        <v>97.5</v>
      </c>
      <c r="K27" s="584">
        <v>98</v>
      </c>
      <c r="L27" s="433">
        <v>98</v>
      </c>
      <c r="M27" s="395" t="s">
        <v>36</v>
      </c>
    </row>
    <row r="28" spans="1:13" s="408" customFormat="1" ht="31.5" customHeight="1">
      <c r="A28" s="389" t="s">
        <v>492</v>
      </c>
      <c r="B28" s="390" t="s">
        <v>423</v>
      </c>
      <c r="C28" s="387"/>
      <c r="D28" s="471"/>
      <c r="E28" s="471"/>
      <c r="F28" s="471"/>
      <c r="G28" s="640"/>
      <c r="H28" s="640"/>
      <c r="I28" s="640"/>
      <c r="J28" s="640"/>
      <c r="K28" s="640"/>
      <c r="L28" s="392"/>
      <c r="M28" s="395"/>
    </row>
    <row r="29" spans="1:19" s="386" customFormat="1" ht="38.25" customHeight="1">
      <c r="A29" s="395">
        <v>1</v>
      </c>
      <c r="B29" s="834" t="s">
        <v>424</v>
      </c>
      <c r="C29" s="391" t="s">
        <v>425</v>
      </c>
      <c r="D29" s="835">
        <v>16.4</v>
      </c>
      <c r="E29" s="835">
        <v>17.240000000000002</v>
      </c>
      <c r="F29" s="836"/>
      <c r="G29" s="837">
        <v>28</v>
      </c>
      <c r="H29" s="837">
        <v>28</v>
      </c>
      <c r="I29" s="837">
        <v>27.4</v>
      </c>
      <c r="J29" s="837">
        <v>27.4</v>
      </c>
      <c r="K29" s="838">
        <v>28.333333333333336</v>
      </c>
      <c r="L29" s="838">
        <v>28.333333333333336</v>
      </c>
      <c r="M29" s="395" t="s">
        <v>36</v>
      </c>
      <c r="N29" s="563">
        <v>16.5</v>
      </c>
      <c r="O29" s="563">
        <v>17</v>
      </c>
      <c r="P29" s="563">
        <v>17.2</v>
      </c>
      <c r="Q29" s="563">
        <v>17.5</v>
      </c>
      <c r="R29" s="563">
        <v>18</v>
      </c>
      <c r="S29" s="563">
        <f>+(R29+Q29+P29+O29+N29)/5</f>
        <v>17.240000000000002</v>
      </c>
    </row>
    <row r="30" spans="1:13" s="386" customFormat="1" ht="32.25" customHeight="1">
      <c r="A30" s="395"/>
      <c r="B30" s="839" t="s">
        <v>426</v>
      </c>
      <c r="C30" s="424" t="s">
        <v>425</v>
      </c>
      <c r="D30" s="835">
        <v>16.4</v>
      </c>
      <c r="E30" s="835">
        <v>17.240000000000002</v>
      </c>
      <c r="F30" s="840">
        <v>29.9</v>
      </c>
      <c r="G30" s="837">
        <v>28</v>
      </c>
      <c r="H30" s="837">
        <v>28</v>
      </c>
      <c r="I30" s="837">
        <v>27.4</v>
      </c>
      <c r="J30" s="837">
        <v>27.4</v>
      </c>
      <c r="K30" s="838">
        <v>28.333333333333336</v>
      </c>
      <c r="L30" s="838">
        <v>28.333333333333336</v>
      </c>
      <c r="M30" s="395" t="s">
        <v>36</v>
      </c>
    </row>
    <row r="31" spans="1:13" s="386" customFormat="1" ht="32.25" customHeight="1">
      <c r="A31" s="395"/>
      <c r="B31" s="839" t="s">
        <v>427</v>
      </c>
      <c r="C31" s="424" t="s">
        <v>425</v>
      </c>
      <c r="D31" s="837"/>
      <c r="E31" s="837"/>
      <c r="F31" s="841"/>
      <c r="G31" s="837"/>
      <c r="H31" s="837"/>
      <c r="I31" s="837"/>
      <c r="J31" s="837"/>
      <c r="K31" s="837"/>
      <c r="L31" s="842"/>
      <c r="M31" s="843"/>
    </row>
    <row r="32" spans="1:19" s="386" customFormat="1" ht="32.25" customHeight="1">
      <c r="A32" s="395">
        <v>2</v>
      </c>
      <c r="B32" s="834" t="s">
        <v>428</v>
      </c>
      <c r="C32" s="391" t="s">
        <v>429</v>
      </c>
      <c r="D32" s="837">
        <v>4.8</v>
      </c>
      <c r="E32" s="837">
        <v>9</v>
      </c>
      <c r="F32" s="841">
        <v>10.87</v>
      </c>
      <c r="G32" s="838">
        <v>6.7</v>
      </c>
      <c r="H32" s="844">
        <v>6.5</v>
      </c>
      <c r="I32" s="844">
        <v>6.7</v>
      </c>
      <c r="J32" s="844">
        <v>6.7</v>
      </c>
      <c r="K32" s="838">
        <v>7.7</v>
      </c>
      <c r="L32" s="838">
        <v>7.7</v>
      </c>
      <c r="M32" s="395" t="s">
        <v>42</v>
      </c>
      <c r="N32" s="563">
        <v>6.7</v>
      </c>
      <c r="O32" s="563">
        <v>6.9</v>
      </c>
      <c r="P32" s="563">
        <v>6.95</v>
      </c>
      <c r="Q32" s="563">
        <v>7.3</v>
      </c>
      <c r="R32" s="563">
        <v>7.5</v>
      </c>
      <c r="S32" s="563">
        <f>+(R32+Q32+P32+O32+N32)/5</f>
        <v>7.07</v>
      </c>
    </row>
    <row r="33" spans="1:13" s="386" customFormat="1" ht="38.25" customHeight="1">
      <c r="A33" s="395">
        <v>3</v>
      </c>
      <c r="B33" s="845" t="s">
        <v>473</v>
      </c>
      <c r="C33" s="391" t="s">
        <v>474</v>
      </c>
      <c r="D33" s="837"/>
      <c r="E33" s="837">
        <v>0</v>
      </c>
      <c r="F33" s="841"/>
      <c r="G33" s="846">
        <v>0</v>
      </c>
      <c r="H33" s="846">
        <v>0</v>
      </c>
      <c r="I33" s="846">
        <v>0</v>
      </c>
      <c r="J33" s="846">
        <v>0</v>
      </c>
      <c r="K33" s="837">
        <v>60.4</v>
      </c>
      <c r="L33" s="837">
        <v>60.4</v>
      </c>
      <c r="M33" s="395" t="s">
        <v>42</v>
      </c>
    </row>
    <row r="34" spans="1:19" s="386" customFormat="1" ht="33" customHeight="1">
      <c r="A34" s="395">
        <v>4</v>
      </c>
      <c r="B34" s="834" t="s">
        <v>430</v>
      </c>
      <c r="C34" s="391" t="s">
        <v>578</v>
      </c>
      <c r="D34" s="844">
        <v>23.7</v>
      </c>
      <c r="E34" s="844">
        <v>23</v>
      </c>
      <c r="F34" s="844">
        <v>34.2</v>
      </c>
      <c r="G34" s="844">
        <v>30.7</v>
      </c>
      <c r="H34" s="844">
        <v>26</v>
      </c>
      <c r="I34" s="844">
        <v>18.7</v>
      </c>
      <c r="J34" s="844">
        <v>17.6</v>
      </c>
      <c r="K34" s="847">
        <v>23</v>
      </c>
      <c r="L34" s="847">
        <v>23</v>
      </c>
      <c r="M34" s="395" t="s">
        <v>36</v>
      </c>
      <c r="N34" s="563">
        <v>24</v>
      </c>
      <c r="O34" s="563">
        <v>23.7</v>
      </c>
      <c r="P34" s="563">
        <v>23</v>
      </c>
      <c r="Q34" s="563">
        <v>22.5</v>
      </c>
      <c r="R34" s="563">
        <v>22</v>
      </c>
      <c r="S34" s="563">
        <f aca="true" t="shared" si="0" ref="S34:S39">+(R34+Q34+P34+O34+N34)/5</f>
        <v>23.04</v>
      </c>
    </row>
    <row r="35" spans="1:19" s="386" customFormat="1" ht="33" customHeight="1">
      <c r="A35" s="395">
        <v>5</v>
      </c>
      <c r="B35" s="834" t="s">
        <v>431</v>
      </c>
      <c r="C35" s="391" t="s">
        <v>578</v>
      </c>
      <c r="D35" s="844">
        <v>32.8</v>
      </c>
      <c r="E35" s="844">
        <v>30</v>
      </c>
      <c r="F35" s="844">
        <v>46.6</v>
      </c>
      <c r="G35" s="844">
        <v>36.6</v>
      </c>
      <c r="H35" s="844">
        <v>32</v>
      </c>
      <c r="I35" s="844">
        <v>21.5</v>
      </c>
      <c r="J35" s="844">
        <v>21.1</v>
      </c>
      <c r="K35" s="847">
        <v>29</v>
      </c>
      <c r="L35" s="847">
        <v>29</v>
      </c>
      <c r="M35" s="395" t="s">
        <v>36</v>
      </c>
      <c r="N35" s="564">
        <v>33</v>
      </c>
      <c r="O35" s="563">
        <v>32.5</v>
      </c>
      <c r="P35" s="563">
        <v>32.5</v>
      </c>
      <c r="Q35" s="563">
        <v>32</v>
      </c>
      <c r="R35" s="563">
        <v>30</v>
      </c>
      <c r="S35" s="563">
        <f t="shared" si="0"/>
        <v>32</v>
      </c>
    </row>
    <row r="36" spans="1:19" s="386" customFormat="1" ht="40.5" customHeight="1">
      <c r="A36" s="395">
        <v>6</v>
      </c>
      <c r="B36" s="834" t="s">
        <v>432</v>
      </c>
      <c r="C36" s="391" t="s">
        <v>303</v>
      </c>
      <c r="D36" s="844">
        <v>23.2</v>
      </c>
      <c r="E36" s="844">
        <v>17.5</v>
      </c>
      <c r="F36" s="848">
        <v>18.8</v>
      </c>
      <c r="G36" s="844">
        <v>18.2</v>
      </c>
      <c r="H36" s="844">
        <v>17.5</v>
      </c>
      <c r="I36" s="844">
        <v>15.8</v>
      </c>
      <c r="J36" s="844">
        <v>15.5</v>
      </c>
      <c r="K36" s="847">
        <v>15.3</v>
      </c>
      <c r="L36" s="847">
        <v>15.3</v>
      </c>
      <c r="M36" s="395" t="s">
        <v>36</v>
      </c>
      <c r="N36" s="563">
        <v>18</v>
      </c>
      <c r="O36" s="563">
        <v>17.8</v>
      </c>
      <c r="P36" s="563">
        <v>17.5</v>
      </c>
      <c r="Q36" s="563">
        <v>16.7</v>
      </c>
      <c r="R36" s="563">
        <v>16</v>
      </c>
      <c r="S36" s="563">
        <f t="shared" si="0"/>
        <v>17.2</v>
      </c>
    </row>
    <row r="37" spans="1:19" s="386" customFormat="1" ht="38.25" customHeight="1">
      <c r="A37" s="395">
        <v>7</v>
      </c>
      <c r="B37" s="484" t="s">
        <v>475</v>
      </c>
      <c r="C37" s="391" t="s">
        <v>303</v>
      </c>
      <c r="D37" s="844">
        <v>73.8</v>
      </c>
      <c r="E37" s="847">
        <v>73.6</v>
      </c>
      <c r="F37" s="848">
        <v>30.8</v>
      </c>
      <c r="G37" s="838">
        <v>84.5</v>
      </c>
      <c r="H37" s="838">
        <v>85</v>
      </c>
      <c r="I37" s="844">
        <v>63.2</v>
      </c>
      <c r="J37" s="844">
        <v>68.4</v>
      </c>
      <c r="K37" s="847">
        <v>73.6</v>
      </c>
      <c r="L37" s="847">
        <v>73.6</v>
      </c>
      <c r="M37" s="395" t="s">
        <v>36</v>
      </c>
      <c r="N37" s="563">
        <v>84.5</v>
      </c>
      <c r="O37" s="563">
        <v>85</v>
      </c>
      <c r="P37" s="563">
        <v>86</v>
      </c>
      <c r="Q37" s="563">
        <v>86.5</v>
      </c>
      <c r="R37" s="563">
        <v>86</v>
      </c>
      <c r="S37" s="563">
        <f t="shared" si="0"/>
        <v>85.6</v>
      </c>
    </row>
    <row r="38" spans="1:19" s="386" customFormat="1" ht="38.25" customHeight="1">
      <c r="A38" s="395">
        <v>8</v>
      </c>
      <c r="B38" s="585" t="s">
        <v>433</v>
      </c>
      <c r="C38" s="391" t="s">
        <v>303</v>
      </c>
      <c r="D38" s="844">
        <v>93.3</v>
      </c>
      <c r="E38" s="846">
        <v>95</v>
      </c>
      <c r="F38" s="848">
        <v>94</v>
      </c>
      <c r="G38" s="838">
        <v>96.5</v>
      </c>
      <c r="H38" s="838">
        <v>97</v>
      </c>
      <c r="I38" s="844">
        <v>94.9</v>
      </c>
      <c r="J38" s="844">
        <v>95</v>
      </c>
      <c r="K38" s="849">
        <v>95</v>
      </c>
      <c r="L38" s="849">
        <v>95</v>
      </c>
      <c r="M38" s="395" t="s">
        <v>36</v>
      </c>
      <c r="N38" s="563">
        <v>96.5</v>
      </c>
      <c r="O38" s="563">
        <v>97</v>
      </c>
      <c r="P38" s="563">
        <v>97.2</v>
      </c>
      <c r="Q38" s="563">
        <v>97.5</v>
      </c>
      <c r="R38" s="563">
        <v>98</v>
      </c>
      <c r="S38" s="374">
        <f t="shared" si="0"/>
        <v>97.24</v>
      </c>
    </row>
    <row r="39" spans="1:19" s="386" customFormat="1" ht="39.75" customHeight="1">
      <c r="A39" s="395">
        <v>9</v>
      </c>
      <c r="B39" s="585" t="s">
        <v>646</v>
      </c>
      <c r="C39" s="391" t="s">
        <v>303</v>
      </c>
      <c r="D39" s="844">
        <v>23.6</v>
      </c>
      <c r="E39" s="846">
        <v>100</v>
      </c>
      <c r="F39" s="848"/>
      <c r="G39" s="844">
        <v>52.6</v>
      </c>
      <c r="H39" s="844">
        <v>84.2</v>
      </c>
      <c r="I39" s="844">
        <v>84.2</v>
      </c>
      <c r="J39" s="844">
        <v>89.47</v>
      </c>
      <c r="K39" s="849">
        <v>100</v>
      </c>
      <c r="L39" s="849">
        <v>100</v>
      </c>
      <c r="M39" s="395" t="s">
        <v>36</v>
      </c>
      <c r="N39" s="563">
        <v>26</v>
      </c>
      <c r="O39" s="563">
        <v>26.5</v>
      </c>
      <c r="P39" s="563">
        <v>27</v>
      </c>
      <c r="Q39" s="564">
        <v>28</v>
      </c>
      <c r="R39" s="564">
        <v>28.7</v>
      </c>
      <c r="S39" s="374">
        <f t="shared" si="0"/>
        <v>27.24</v>
      </c>
    </row>
    <row r="40" spans="1:13" s="386" customFormat="1" ht="42" customHeight="1">
      <c r="A40" s="395">
        <v>10</v>
      </c>
      <c r="B40" s="585" t="s">
        <v>671</v>
      </c>
      <c r="C40" s="391" t="s">
        <v>303</v>
      </c>
      <c r="D40" s="850">
        <v>97</v>
      </c>
      <c r="E40" s="850" t="s">
        <v>435</v>
      </c>
      <c r="F40" s="851">
        <v>98</v>
      </c>
      <c r="G40" s="851">
        <v>96.82</v>
      </c>
      <c r="H40" s="851">
        <v>97.01</v>
      </c>
      <c r="I40" s="851">
        <v>97.08</v>
      </c>
      <c r="J40" s="851">
        <v>97.2</v>
      </c>
      <c r="K40" s="852">
        <v>98</v>
      </c>
      <c r="L40" s="852">
        <v>98</v>
      </c>
      <c r="M40" s="395" t="s">
        <v>36</v>
      </c>
    </row>
    <row r="41" spans="1:14" s="408" customFormat="1" ht="37.5" customHeight="1">
      <c r="A41" s="389" t="s">
        <v>674</v>
      </c>
      <c r="B41" s="390" t="s">
        <v>512</v>
      </c>
      <c r="C41" s="387"/>
      <c r="D41" s="617"/>
      <c r="E41" s="617"/>
      <c r="F41" s="618"/>
      <c r="G41" s="618"/>
      <c r="H41" s="619"/>
      <c r="I41" s="619"/>
      <c r="J41" s="619"/>
      <c r="K41" s="620"/>
      <c r="L41" s="601"/>
      <c r="M41" s="601"/>
      <c r="N41" s="621"/>
    </row>
    <row r="42" spans="1:13" s="408" customFormat="1" ht="39" customHeight="1">
      <c r="A42" s="389" t="s">
        <v>101</v>
      </c>
      <c r="B42" s="390" t="s">
        <v>513</v>
      </c>
      <c r="C42" s="526" t="s">
        <v>509</v>
      </c>
      <c r="D42" s="617"/>
      <c r="E42" s="617"/>
      <c r="F42" s="618"/>
      <c r="G42" s="618"/>
      <c r="H42" s="619"/>
      <c r="I42" s="619"/>
      <c r="J42" s="619"/>
      <c r="K42" s="620"/>
      <c r="L42" s="601"/>
      <c r="M42" s="601"/>
    </row>
    <row r="43" spans="1:13" s="386" customFormat="1" ht="34.5" customHeight="1">
      <c r="A43" s="622">
        <v>1</v>
      </c>
      <c r="B43" s="376" t="s">
        <v>510</v>
      </c>
      <c r="C43" s="526" t="s">
        <v>509</v>
      </c>
      <c r="D43" s="526"/>
      <c r="E43" s="526"/>
      <c r="F43" s="526"/>
      <c r="G43" s="623"/>
      <c r="H43" s="526"/>
      <c r="I43" s="526"/>
      <c r="J43" s="623"/>
      <c r="K43" s="526"/>
      <c r="L43" s="392"/>
      <c r="M43" s="392"/>
    </row>
    <row r="44" spans="1:13" s="386" customFormat="1" ht="34.5" customHeight="1">
      <c r="A44" s="526">
        <v>2</v>
      </c>
      <c r="B44" s="376" t="s">
        <v>364</v>
      </c>
      <c r="C44" s="526" t="s">
        <v>509</v>
      </c>
      <c r="D44" s="526"/>
      <c r="E44" s="526"/>
      <c r="F44" s="526"/>
      <c r="G44" s="623"/>
      <c r="H44" s="526"/>
      <c r="I44" s="526"/>
      <c r="J44" s="623"/>
      <c r="K44" s="526"/>
      <c r="L44" s="392"/>
      <c r="M44" s="392"/>
    </row>
    <row r="45" spans="1:13" s="386" customFormat="1" ht="34.5" customHeight="1">
      <c r="A45" s="622">
        <v>3</v>
      </c>
      <c r="B45" s="376" t="s">
        <v>511</v>
      </c>
      <c r="C45" s="526" t="s">
        <v>509</v>
      </c>
      <c r="D45" s="526"/>
      <c r="E45" s="526"/>
      <c r="F45" s="526"/>
      <c r="G45" s="623"/>
      <c r="H45" s="526"/>
      <c r="I45" s="526"/>
      <c r="J45" s="623"/>
      <c r="K45" s="526"/>
      <c r="L45" s="392"/>
      <c r="M45" s="392"/>
    </row>
    <row r="46" spans="1:13" s="386" customFormat="1" ht="36.75" customHeight="1">
      <c r="A46" s="624" t="s">
        <v>102</v>
      </c>
      <c r="B46" s="369" t="s">
        <v>649</v>
      </c>
      <c r="C46" s="369"/>
      <c r="D46" s="369"/>
      <c r="E46" s="369"/>
      <c r="F46" s="369"/>
      <c r="G46" s="369"/>
      <c r="H46" s="369"/>
      <c r="I46" s="369"/>
      <c r="J46" s="369"/>
      <c r="K46" s="369"/>
      <c r="L46" s="392"/>
      <c r="M46" s="392"/>
    </row>
    <row r="47" spans="1:13" s="386" customFormat="1" ht="30.75" customHeight="1">
      <c r="A47" s="622">
        <v>1</v>
      </c>
      <c r="B47" s="376" t="s">
        <v>510</v>
      </c>
      <c r="C47" s="526" t="s">
        <v>5</v>
      </c>
      <c r="D47" s="526"/>
      <c r="E47" s="526"/>
      <c r="F47" s="526"/>
      <c r="G47" s="623"/>
      <c r="H47" s="526"/>
      <c r="I47" s="526"/>
      <c r="J47" s="623"/>
      <c r="K47" s="526"/>
      <c r="L47" s="392"/>
      <c r="M47" s="392"/>
    </row>
    <row r="48" spans="1:13" s="386" customFormat="1" ht="30.75" customHeight="1">
      <c r="A48" s="526">
        <v>2</v>
      </c>
      <c r="B48" s="376" t="s">
        <v>364</v>
      </c>
      <c r="C48" s="526" t="s">
        <v>5</v>
      </c>
      <c r="D48" s="526"/>
      <c r="E48" s="526"/>
      <c r="F48" s="526"/>
      <c r="G48" s="623"/>
      <c r="H48" s="526"/>
      <c r="I48" s="526"/>
      <c r="J48" s="623"/>
      <c r="K48" s="526"/>
      <c r="L48" s="392"/>
      <c r="M48" s="392"/>
    </row>
    <row r="49" spans="1:13" s="386" customFormat="1" ht="30.75" customHeight="1">
      <c r="A49" s="622">
        <v>3</v>
      </c>
      <c r="B49" s="376" t="s">
        <v>511</v>
      </c>
      <c r="C49" s="526" t="s">
        <v>5</v>
      </c>
      <c r="D49" s="526"/>
      <c r="E49" s="526"/>
      <c r="F49" s="526"/>
      <c r="G49" s="623"/>
      <c r="H49" s="526"/>
      <c r="I49" s="526"/>
      <c r="J49" s="623"/>
      <c r="K49" s="526"/>
      <c r="L49" s="392"/>
      <c r="M49" s="392"/>
    </row>
    <row r="50" spans="1:11" ht="16.5">
      <c r="A50" s="398"/>
      <c r="B50" s="399"/>
      <c r="C50" s="385"/>
      <c r="D50" s="385"/>
      <c r="E50" s="385"/>
      <c r="F50" s="385"/>
      <c r="G50" s="386"/>
      <c r="H50" s="386"/>
      <c r="I50" s="386"/>
      <c r="J50" s="386"/>
      <c r="K50" s="386"/>
    </row>
    <row r="51" spans="1:11" ht="16.5">
      <c r="A51" s="398"/>
      <c r="B51" s="399"/>
      <c r="C51" s="385"/>
      <c r="D51" s="385"/>
      <c r="E51" s="385"/>
      <c r="F51" s="385"/>
      <c r="G51" s="386"/>
      <c r="H51" s="386"/>
      <c r="I51" s="386"/>
      <c r="J51" s="386"/>
      <c r="K51" s="386"/>
    </row>
    <row r="52" spans="1:11" ht="16.5">
      <c r="A52" s="398"/>
      <c r="B52" s="399"/>
      <c r="C52" s="385"/>
      <c r="D52" s="385"/>
      <c r="E52" s="385"/>
      <c r="F52" s="385"/>
      <c r="G52" s="386"/>
      <c r="H52" s="386"/>
      <c r="I52" s="386"/>
      <c r="J52" s="386"/>
      <c r="K52" s="386"/>
    </row>
    <row r="53" spans="1:11" ht="16.5">
      <c r="A53" s="398"/>
      <c r="B53" s="399"/>
      <c r="C53" s="385"/>
      <c r="D53" s="385"/>
      <c r="E53" s="385"/>
      <c r="F53" s="385"/>
      <c r="G53" s="386"/>
      <c r="H53" s="386"/>
      <c r="I53" s="386"/>
      <c r="J53" s="386"/>
      <c r="K53" s="386"/>
    </row>
    <row r="54" spans="1:11" ht="16.5">
      <c r="A54" s="398"/>
      <c r="B54" s="399"/>
      <c r="C54" s="385"/>
      <c r="D54" s="385"/>
      <c r="E54" s="385"/>
      <c r="F54" s="385"/>
      <c r="G54" s="386"/>
      <c r="H54" s="386"/>
      <c r="I54" s="386"/>
      <c r="J54" s="386"/>
      <c r="K54" s="386"/>
    </row>
    <row r="55" spans="1:11" ht="16.5">
      <c r="A55" s="398"/>
      <c r="B55" s="399"/>
      <c r="C55" s="385"/>
      <c r="D55" s="385"/>
      <c r="E55" s="385"/>
      <c r="F55" s="385"/>
      <c r="G55" s="386"/>
      <c r="H55" s="386"/>
      <c r="I55" s="386"/>
      <c r="J55" s="386"/>
      <c r="K55" s="386"/>
    </row>
    <row r="56" spans="1:11" ht="16.5">
      <c r="A56" s="398"/>
      <c r="B56" s="399"/>
      <c r="C56" s="385"/>
      <c r="D56" s="385"/>
      <c r="E56" s="385"/>
      <c r="F56" s="385"/>
      <c r="G56" s="386"/>
      <c r="H56" s="386"/>
      <c r="I56" s="386"/>
      <c r="J56" s="386"/>
      <c r="K56" s="386"/>
    </row>
    <row r="57" spans="1:11" ht="16.5">
      <c r="A57" s="398"/>
      <c r="B57" s="399"/>
      <c r="C57" s="385"/>
      <c r="D57" s="385"/>
      <c r="E57" s="385"/>
      <c r="F57" s="385"/>
      <c r="G57" s="386"/>
      <c r="H57" s="386"/>
      <c r="I57" s="386"/>
      <c r="J57" s="386"/>
      <c r="K57" s="386"/>
    </row>
    <row r="58" spans="1:11" ht="16.5">
      <c r="A58" s="398"/>
      <c r="B58" s="399"/>
      <c r="C58" s="385"/>
      <c r="D58" s="385"/>
      <c r="E58" s="385"/>
      <c r="F58" s="385"/>
      <c r="G58" s="386"/>
      <c r="H58" s="386"/>
      <c r="I58" s="386"/>
      <c r="J58" s="386"/>
      <c r="K58" s="386"/>
    </row>
    <row r="59" spans="1:11" ht="16.5">
      <c r="A59" s="398"/>
      <c r="B59" s="399"/>
      <c r="C59" s="385"/>
      <c r="D59" s="385"/>
      <c r="E59" s="385"/>
      <c r="F59" s="385"/>
      <c r="G59" s="386"/>
      <c r="H59" s="386"/>
      <c r="I59" s="386"/>
      <c r="J59" s="386"/>
      <c r="K59" s="386"/>
    </row>
    <row r="60" spans="1:11" ht="16.5">
      <c r="A60" s="398"/>
      <c r="B60" s="399"/>
      <c r="C60" s="385"/>
      <c r="D60" s="385"/>
      <c r="E60" s="385"/>
      <c r="F60" s="385"/>
      <c r="G60" s="386"/>
      <c r="H60" s="386"/>
      <c r="I60" s="386"/>
      <c r="J60" s="386"/>
      <c r="K60" s="386"/>
    </row>
    <row r="61" spans="1:11" ht="16.5">
      <c r="A61" s="398"/>
      <c r="B61" s="399"/>
      <c r="C61" s="385"/>
      <c r="D61" s="385"/>
      <c r="E61" s="385"/>
      <c r="F61" s="385"/>
      <c r="G61" s="386"/>
      <c r="H61" s="386"/>
      <c r="I61" s="386"/>
      <c r="J61" s="386"/>
      <c r="K61" s="386"/>
    </row>
    <row r="62" spans="1:11" ht="16.5">
      <c r="A62" s="398"/>
      <c r="B62" s="399"/>
      <c r="C62" s="385"/>
      <c r="D62" s="385"/>
      <c r="E62" s="385"/>
      <c r="F62" s="385"/>
      <c r="G62" s="386"/>
      <c r="H62" s="386"/>
      <c r="I62" s="386"/>
      <c r="J62" s="386"/>
      <c r="K62" s="386"/>
    </row>
    <row r="63" spans="1:11" ht="16.5">
      <c r="A63" s="398"/>
      <c r="B63" s="399"/>
      <c r="C63" s="385"/>
      <c r="D63" s="385"/>
      <c r="E63" s="385"/>
      <c r="F63" s="385"/>
      <c r="G63" s="386"/>
      <c r="H63" s="386"/>
      <c r="I63" s="386"/>
      <c r="J63" s="386"/>
      <c r="K63" s="386"/>
    </row>
    <row r="64" spans="1:11" ht="16.5">
      <c r="A64" s="398"/>
      <c r="B64" s="399"/>
      <c r="C64" s="385"/>
      <c r="D64" s="385"/>
      <c r="E64" s="385"/>
      <c r="F64" s="385"/>
      <c r="G64" s="386"/>
      <c r="H64" s="386"/>
      <c r="I64" s="386"/>
      <c r="J64" s="386"/>
      <c r="K64" s="386"/>
    </row>
    <row r="65" spans="1:11" ht="16.5">
      <c r="A65" s="398"/>
      <c r="B65" s="399"/>
      <c r="C65" s="385"/>
      <c r="D65" s="385"/>
      <c r="E65" s="385"/>
      <c r="F65" s="385"/>
      <c r="G65" s="386"/>
      <c r="H65" s="386"/>
      <c r="I65" s="386"/>
      <c r="J65" s="386"/>
      <c r="K65" s="386"/>
    </row>
    <row r="66" spans="1:11" ht="16.5">
      <c r="A66" s="398"/>
      <c r="B66" s="399"/>
      <c r="C66" s="385"/>
      <c r="D66" s="385"/>
      <c r="E66" s="385"/>
      <c r="F66" s="385"/>
      <c r="G66" s="386"/>
      <c r="H66" s="386"/>
      <c r="I66" s="386"/>
      <c r="J66" s="386"/>
      <c r="K66" s="386"/>
    </row>
    <row r="67" spans="1:11" ht="16.5">
      <c r="A67" s="398"/>
      <c r="B67" s="399"/>
      <c r="C67" s="385"/>
      <c r="D67" s="385"/>
      <c r="E67" s="385"/>
      <c r="F67" s="385"/>
      <c r="G67" s="386"/>
      <c r="H67" s="386"/>
      <c r="I67" s="386"/>
      <c r="J67" s="386"/>
      <c r="K67" s="386"/>
    </row>
    <row r="68" spans="1:11" ht="16.5">
      <c r="A68" s="398"/>
      <c r="B68" s="399"/>
      <c r="C68" s="385"/>
      <c r="D68" s="385"/>
      <c r="E68" s="385"/>
      <c r="F68" s="385"/>
      <c r="G68" s="386"/>
      <c r="H68" s="386"/>
      <c r="I68" s="386"/>
      <c r="J68" s="386"/>
      <c r="K68" s="386"/>
    </row>
    <row r="69" spans="1:11" ht="16.5">
      <c r="A69" s="398"/>
      <c r="B69" s="399"/>
      <c r="C69" s="385"/>
      <c r="D69" s="385"/>
      <c r="E69" s="385"/>
      <c r="F69" s="385"/>
      <c r="G69" s="386"/>
      <c r="H69" s="386"/>
      <c r="I69" s="386"/>
      <c r="J69" s="386"/>
      <c r="K69" s="386"/>
    </row>
    <row r="70" spans="1:11" ht="16.5">
      <c r="A70" s="398"/>
      <c r="B70" s="399"/>
      <c r="C70" s="385"/>
      <c r="D70" s="385"/>
      <c r="E70" s="385"/>
      <c r="F70" s="385"/>
      <c r="G70" s="386"/>
      <c r="H70" s="386"/>
      <c r="I70" s="386"/>
      <c r="J70" s="386"/>
      <c r="K70" s="386"/>
    </row>
    <row r="71" spans="1:11" ht="16.5">
      <c r="A71" s="398"/>
      <c r="B71" s="399"/>
      <c r="C71" s="385"/>
      <c r="D71" s="385"/>
      <c r="E71" s="385"/>
      <c r="F71" s="385"/>
      <c r="G71" s="386"/>
      <c r="H71" s="386"/>
      <c r="I71" s="386"/>
      <c r="J71" s="386"/>
      <c r="K71" s="386"/>
    </row>
    <row r="72" spans="1:11" ht="16.5">
      <c r="A72" s="398"/>
      <c r="B72" s="399"/>
      <c r="C72" s="385"/>
      <c r="D72" s="385"/>
      <c r="E72" s="385"/>
      <c r="F72" s="385"/>
      <c r="G72" s="386"/>
      <c r="H72" s="386"/>
      <c r="I72" s="386"/>
      <c r="J72" s="386"/>
      <c r="K72" s="386"/>
    </row>
    <row r="73" spans="1:11" ht="16.5">
      <c r="A73" s="398"/>
      <c r="B73" s="399"/>
      <c r="C73" s="385"/>
      <c r="D73" s="385"/>
      <c r="E73" s="385"/>
      <c r="F73" s="385"/>
      <c r="G73" s="386"/>
      <c r="H73" s="386"/>
      <c r="I73" s="386"/>
      <c r="J73" s="386"/>
      <c r="K73" s="386"/>
    </row>
    <row r="74" spans="1:11" ht="16.5">
      <c r="A74" s="398"/>
      <c r="B74" s="399"/>
      <c r="C74" s="385"/>
      <c r="D74" s="385"/>
      <c r="E74" s="385"/>
      <c r="F74" s="385"/>
      <c r="G74" s="386"/>
      <c r="H74" s="386"/>
      <c r="I74" s="386"/>
      <c r="J74" s="386"/>
      <c r="K74" s="386"/>
    </row>
    <row r="75" spans="1:11" ht="16.5">
      <c r="A75" s="398"/>
      <c r="B75" s="399"/>
      <c r="C75" s="385"/>
      <c r="D75" s="385"/>
      <c r="E75" s="385"/>
      <c r="F75" s="385"/>
      <c r="G75" s="386"/>
      <c r="H75" s="386"/>
      <c r="I75" s="386"/>
      <c r="J75" s="386"/>
      <c r="K75" s="386"/>
    </row>
    <row r="76" spans="1:11" ht="16.5">
      <c r="A76" s="398"/>
      <c r="B76" s="399"/>
      <c r="C76" s="385"/>
      <c r="D76" s="385"/>
      <c r="E76" s="385"/>
      <c r="F76" s="385"/>
      <c r="G76" s="386"/>
      <c r="H76" s="386"/>
      <c r="I76" s="386"/>
      <c r="J76" s="386"/>
      <c r="K76" s="386"/>
    </row>
    <row r="77" spans="1:11" ht="16.5">
      <c r="A77" s="398"/>
      <c r="B77" s="399"/>
      <c r="C77" s="385"/>
      <c r="D77" s="385"/>
      <c r="E77" s="385"/>
      <c r="F77" s="385"/>
      <c r="G77" s="386"/>
      <c r="H77" s="386"/>
      <c r="I77" s="386"/>
      <c r="J77" s="386"/>
      <c r="K77" s="386"/>
    </row>
    <row r="78" spans="1:11" ht="16.5">
      <c r="A78" s="398"/>
      <c r="B78" s="399"/>
      <c r="C78" s="385"/>
      <c r="D78" s="385"/>
      <c r="E78" s="385"/>
      <c r="F78" s="385"/>
      <c r="G78" s="386"/>
      <c r="H78" s="386"/>
      <c r="I78" s="386"/>
      <c r="J78" s="386"/>
      <c r="K78" s="386"/>
    </row>
    <row r="79" spans="1:11" ht="16.5">
      <c r="A79" s="398"/>
      <c r="B79" s="399"/>
      <c r="C79" s="385"/>
      <c r="D79" s="385"/>
      <c r="E79" s="385"/>
      <c r="F79" s="385"/>
      <c r="G79" s="386"/>
      <c r="H79" s="386"/>
      <c r="I79" s="386"/>
      <c r="J79" s="386"/>
      <c r="K79" s="386"/>
    </row>
    <row r="80" spans="1:11" ht="16.5">
      <c r="A80" s="398"/>
      <c r="B80" s="399"/>
      <c r="C80" s="385"/>
      <c r="D80" s="385"/>
      <c r="E80" s="385"/>
      <c r="F80" s="385"/>
      <c r="G80" s="386"/>
      <c r="H80" s="386"/>
      <c r="I80" s="386"/>
      <c r="J80" s="386"/>
      <c r="K80" s="386"/>
    </row>
    <row r="81" spans="1:11" ht="16.5">
      <c r="A81" s="398"/>
      <c r="B81" s="399"/>
      <c r="C81" s="385"/>
      <c r="D81" s="385"/>
      <c r="E81" s="385"/>
      <c r="F81" s="385"/>
      <c r="G81" s="386"/>
      <c r="H81" s="386"/>
      <c r="I81" s="386"/>
      <c r="J81" s="386"/>
      <c r="K81" s="386"/>
    </row>
    <row r="82" spans="1:11" ht="16.5">
      <c r="A82" s="398"/>
      <c r="B82" s="399"/>
      <c r="C82" s="385"/>
      <c r="D82" s="385"/>
      <c r="E82" s="385"/>
      <c r="F82" s="385"/>
      <c r="G82" s="386"/>
      <c r="H82" s="386"/>
      <c r="I82" s="386"/>
      <c r="J82" s="386"/>
      <c r="K82" s="386"/>
    </row>
    <row r="83" spans="1:11" ht="16.5">
      <c r="A83" s="398"/>
      <c r="B83" s="399"/>
      <c r="C83" s="385"/>
      <c r="D83" s="385"/>
      <c r="E83" s="385"/>
      <c r="F83" s="385"/>
      <c r="G83" s="386"/>
      <c r="H83" s="386"/>
      <c r="I83" s="386"/>
      <c r="J83" s="386"/>
      <c r="K83" s="386"/>
    </row>
    <row r="84" spans="1:11" ht="16.5">
      <c r="A84" s="398"/>
      <c r="B84" s="399"/>
      <c r="C84" s="385"/>
      <c r="D84" s="385"/>
      <c r="E84" s="385"/>
      <c r="F84" s="385"/>
      <c r="G84" s="386"/>
      <c r="H84" s="386"/>
      <c r="I84" s="386"/>
      <c r="J84" s="386"/>
      <c r="K84" s="386"/>
    </row>
    <row r="85" spans="1:11" ht="16.5">
      <c r="A85" s="398"/>
      <c r="B85" s="399"/>
      <c r="C85" s="385"/>
      <c r="D85" s="385"/>
      <c r="E85" s="385"/>
      <c r="F85" s="385"/>
      <c r="G85" s="386"/>
      <c r="H85" s="386"/>
      <c r="I85" s="386"/>
      <c r="J85" s="386"/>
      <c r="K85" s="386"/>
    </row>
    <row r="86" spans="1:11" ht="16.5">
      <c r="A86" s="398"/>
      <c r="B86" s="399"/>
      <c r="C86" s="385"/>
      <c r="D86" s="385"/>
      <c r="E86" s="385"/>
      <c r="F86" s="385"/>
      <c r="G86" s="386"/>
      <c r="H86" s="386"/>
      <c r="I86" s="386"/>
      <c r="J86" s="386"/>
      <c r="K86" s="386"/>
    </row>
    <row r="87" spans="1:11" ht="16.5">
      <c r="A87" s="398"/>
      <c r="B87" s="399"/>
      <c r="C87" s="385"/>
      <c r="D87" s="385"/>
      <c r="E87" s="385"/>
      <c r="F87" s="385"/>
      <c r="G87" s="386"/>
      <c r="H87" s="386"/>
      <c r="I87" s="386"/>
      <c r="J87" s="386"/>
      <c r="K87" s="386"/>
    </row>
    <row r="88" spans="1:11" ht="16.5">
      <c r="A88" s="398"/>
      <c r="B88" s="399"/>
      <c r="C88" s="385"/>
      <c r="D88" s="385"/>
      <c r="E88" s="385"/>
      <c r="F88" s="385"/>
      <c r="G88" s="386"/>
      <c r="H88" s="386"/>
      <c r="I88" s="386"/>
      <c r="J88" s="386"/>
      <c r="K88" s="386"/>
    </row>
    <row r="89" spans="1:11" ht="16.5">
      <c r="A89" s="398"/>
      <c r="B89" s="399"/>
      <c r="C89" s="385"/>
      <c r="D89" s="385"/>
      <c r="E89" s="385"/>
      <c r="F89" s="385"/>
      <c r="G89" s="386"/>
      <c r="H89" s="386"/>
      <c r="I89" s="386"/>
      <c r="J89" s="386"/>
      <c r="K89" s="386"/>
    </row>
    <row r="90" spans="1:11" ht="16.5">
      <c r="A90" s="398"/>
      <c r="B90" s="399"/>
      <c r="C90" s="385"/>
      <c r="D90" s="385"/>
      <c r="E90" s="385"/>
      <c r="F90" s="385"/>
      <c r="G90" s="386"/>
      <c r="H90" s="386"/>
      <c r="I90" s="386"/>
      <c r="J90" s="386"/>
      <c r="K90" s="386"/>
    </row>
    <row r="91" spans="1:11" ht="16.5">
      <c r="A91" s="398"/>
      <c r="B91" s="399"/>
      <c r="C91" s="385"/>
      <c r="D91" s="385"/>
      <c r="E91" s="385"/>
      <c r="F91" s="385"/>
      <c r="G91" s="386"/>
      <c r="H91" s="386"/>
      <c r="I91" s="386"/>
      <c r="J91" s="386"/>
      <c r="K91" s="386"/>
    </row>
    <row r="92" spans="1:11" ht="16.5">
      <c r="A92" s="398"/>
      <c r="B92" s="399"/>
      <c r="C92" s="385"/>
      <c r="D92" s="385"/>
      <c r="E92" s="385"/>
      <c r="F92" s="385"/>
      <c r="G92" s="386"/>
      <c r="H92" s="386"/>
      <c r="I92" s="386"/>
      <c r="J92" s="386"/>
      <c r="K92" s="386"/>
    </row>
    <row r="93" spans="1:11" ht="16.5">
      <c r="A93" s="398"/>
      <c r="B93" s="399"/>
      <c r="C93" s="385"/>
      <c r="D93" s="385"/>
      <c r="E93" s="385"/>
      <c r="F93" s="385"/>
      <c r="G93" s="386"/>
      <c r="H93" s="386"/>
      <c r="I93" s="386"/>
      <c r="J93" s="386"/>
      <c r="K93" s="386"/>
    </row>
    <row r="94" spans="1:11" ht="16.5">
      <c r="A94" s="398"/>
      <c r="B94" s="399"/>
      <c r="C94" s="385"/>
      <c r="D94" s="385"/>
      <c r="E94" s="385"/>
      <c r="F94" s="385"/>
      <c r="G94" s="386"/>
      <c r="H94" s="386"/>
      <c r="I94" s="386"/>
      <c r="J94" s="386"/>
      <c r="K94" s="386"/>
    </row>
    <row r="95" spans="1:11" ht="16.5">
      <c r="A95" s="398"/>
      <c r="B95" s="399"/>
      <c r="C95" s="385"/>
      <c r="D95" s="385"/>
      <c r="E95" s="385"/>
      <c r="F95" s="385"/>
      <c r="G95" s="386"/>
      <c r="H95" s="386"/>
      <c r="I95" s="386"/>
      <c r="J95" s="386"/>
      <c r="K95" s="386"/>
    </row>
    <row r="96" spans="1:11" ht="16.5">
      <c r="A96" s="398"/>
      <c r="B96" s="399"/>
      <c r="C96" s="385"/>
      <c r="D96" s="385"/>
      <c r="E96" s="385"/>
      <c r="F96" s="385"/>
      <c r="G96" s="386"/>
      <c r="H96" s="386"/>
      <c r="I96" s="386"/>
      <c r="J96" s="386"/>
      <c r="K96" s="386"/>
    </row>
    <row r="97" spans="1:11" ht="16.5">
      <c r="A97" s="398"/>
      <c r="B97" s="399"/>
      <c r="C97" s="385"/>
      <c r="D97" s="385"/>
      <c r="E97" s="385"/>
      <c r="F97" s="385"/>
      <c r="G97" s="386"/>
      <c r="H97" s="386"/>
      <c r="I97" s="386"/>
      <c r="J97" s="386"/>
      <c r="K97" s="386"/>
    </row>
    <row r="98" spans="1:11" ht="16.5">
      <c r="A98" s="398"/>
      <c r="B98" s="399"/>
      <c r="C98" s="385"/>
      <c r="D98" s="385"/>
      <c r="E98" s="385"/>
      <c r="F98" s="385"/>
      <c r="G98" s="386"/>
      <c r="H98" s="386"/>
      <c r="I98" s="386"/>
      <c r="J98" s="386"/>
      <c r="K98" s="386"/>
    </row>
    <row r="99" spans="1:11" ht="16.5">
      <c r="A99" s="398"/>
      <c r="B99" s="399"/>
      <c r="C99" s="385"/>
      <c r="D99" s="385"/>
      <c r="E99" s="385"/>
      <c r="F99" s="385"/>
      <c r="G99" s="386"/>
      <c r="H99" s="386"/>
      <c r="I99" s="386"/>
      <c r="J99" s="386"/>
      <c r="K99" s="386"/>
    </row>
    <row r="100" spans="1:11" ht="16.5">
      <c r="A100" s="398"/>
      <c r="B100" s="399"/>
      <c r="C100" s="385"/>
      <c r="D100" s="385"/>
      <c r="E100" s="385"/>
      <c r="F100" s="385"/>
      <c r="G100" s="386"/>
      <c r="H100" s="386"/>
      <c r="I100" s="386"/>
      <c r="J100" s="386"/>
      <c r="K100" s="386"/>
    </row>
    <row r="101" spans="1:11" ht="16.5">
      <c r="A101" s="398"/>
      <c r="B101" s="399"/>
      <c r="C101" s="385"/>
      <c r="D101" s="385"/>
      <c r="E101" s="385"/>
      <c r="F101" s="385"/>
      <c r="G101" s="386"/>
      <c r="H101" s="386"/>
      <c r="I101" s="386"/>
      <c r="J101" s="386"/>
      <c r="K101" s="386"/>
    </row>
    <row r="102" spans="1:11" ht="16.5">
      <c r="A102" s="398"/>
      <c r="B102" s="399"/>
      <c r="C102" s="385"/>
      <c r="D102" s="385"/>
      <c r="E102" s="385"/>
      <c r="F102" s="385"/>
      <c r="G102" s="386"/>
      <c r="H102" s="386"/>
      <c r="I102" s="386"/>
      <c r="J102" s="386"/>
      <c r="K102" s="386"/>
    </row>
    <row r="103" spans="1:11" ht="16.5">
      <c r="A103" s="398"/>
      <c r="B103" s="399"/>
      <c r="C103" s="385"/>
      <c r="D103" s="385"/>
      <c r="E103" s="385"/>
      <c r="F103" s="385"/>
      <c r="G103" s="386"/>
      <c r="H103" s="386"/>
      <c r="I103" s="386"/>
      <c r="J103" s="386"/>
      <c r="K103" s="386"/>
    </row>
    <row r="104" spans="1:11" ht="16.5">
      <c r="A104" s="398"/>
      <c r="B104" s="399"/>
      <c r="C104" s="385"/>
      <c r="D104" s="385"/>
      <c r="E104" s="385"/>
      <c r="F104" s="385"/>
      <c r="G104" s="386"/>
      <c r="H104" s="386"/>
      <c r="I104" s="386"/>
      <c r="J104" s="386"/>
      <c r="K104" s="386"/>
    </row>
    <row r="105" spans="1:11" ht="16.5">
      <c r="A105" s="398"/>
      <c r="B105" s="399"/>
      <c r="C105" s="385"/>
      <c r="D105" s="385"/>
      <c r="E105" s="385"/>
      <c r="F105" s="385"/>
      <c r="G105" s="386"/>
      <c r="H105" s="386"/>
      <c r="I105" s="386"/>
      <c r="J105" s="386"/>
      <c r="K105" s="386"/>
    </row>
    <row r="106" spans="1:11" ht="16.5">
      <c r="A106" s="398"/>
      <c r="B106" s="399"/>
      <c r="C106" s="385"/>
      <c r="D106" s="385"/>
      <c r="E106" s="385"/>
      <c r="F106" s="385"/>
      <c r="G106" s="386"/>
      <c r="H106" s="386"/>
      <c r="I106" s="386"/>
      <c r="J106" s="386"/>
      <c r="K106" s="386"/>
    </row>
    <row r="107" spans="1:11" ht="16.5">
      <c r="A107" s="398"/>
      <c r="B107" s="399"/>
      <c r="C107" s="385"/>
      <c r="D107" s="385"/>
      <c r="E107" s="385"/>
      <c r="F107" s="385"/>
      <c r="G107" s="386"/>
      <c r="H107" s="386"/>
      <c r="I107" s="386"/>
      <c r="J107" s="386"/>
      <c r="K107" s="386"/>
    </row>
    <row r="108" spans="1:11" ht="16.5">
      <c r="A108" s="398"/>
      <c r="B108" s="399"/>
      <c r="C108" s="385"/>
      <c r="D108" s="385"/>
      <c r="E108" s="385"/>
      <c r="F108" s="385"/>
      <c r="G108" s="386"/>
      <c r="H108" s="386"/>
      <c r="I108" s="386"/>
      <c r="J108" s="386"/>
      <c r="K108" s="386"/>
    </row>
    <row r="109" spans="1:11" ht="16.5">
      <c r="A109" s="398"/>
      <c r="B109" s="399"/>
      <c r="C109" s="385"/>
      <c r="D109" s="385"/>
      <c r="E109" s="385"/>
      <c r="F109" s="385"/>
      <c r="G109" s="386"/>
      <c r="H109" s="386"/>
      <c r="I109" s="386"/>
      <c r="J109" s="386"/>
      <c r="K109" s="386"/>
    </row>
    <row r="110" spans="1:11" ht="16.5">
      <c r="A110" s="398"/>
      <c r="B110" s="399"/>
      <c r="C110" s="385"/>
      <c r="D110" s="385"/>
      <c r="E110" s="385"/>
      <c r="F110" s="385"/>
      <c r="G110" s="386"/>
      <c r="H110" s="386"/>
      <c r="I110" s="386"/>
      <c r="J110" s="386"/>
      <c r="K110" s="386"/>
    </row>
    <row r="111" spans="1:11" ht="16.5">
      <c r="A111" s="398"/>
      <c r="B111" s="399"/>
      <c r="C111" s="385"/>
      <c r="D111" s="385"/>
      <c r="E111" s="385"/>
      <c r="F111" s="385"/>
      <c r="G111" s="386"/>
      <c r="H111" s="386"/>
      <c r="I111" s="386"/>
      <c r="J111" s="386"/>
      <c r="K111" s="386"/>
    </row>
    <row r="112" spans="1:11" ht="16.5">
      <c r="A112" s="398"/>
      <c r="B112" s="399"/>
      <c r="C112" s="385"/>
      <c r="D112" s="385"/>
      <c r="E112" s="385"/>
      <c r="F112" s="385"/>
      <c r="G112" s="386"/>
      <c r="H112" s="386"/>
      <c r="I112" s="386"/>
      <c r="J112" s="386"/>
      <c r="K112" s="386"/>
    </row>
    <row r="113" spans="1:11" ht="16.5">
      <c r="A113" s="398"/>
      <c r="B113" s="399"/>
      <c r="C113" s="385"/>
      <c r="D113" s="385"/>
      <c r="E113" s="385"/>
      <c r="F113" s="385"/>
      <c r="G113" s="386"/>
      <c r="H113" s="386"/>
      <c r="I113" s="386"/>
      <c r="J113" s="386"/>
      <c r="K113" s="386"/>
    </row>
    <row r="114" spans="1:11" ht="16.5">
      <c r="A114" s="398"/>
      <c r="B114" s="399"/>
      <c r="C114" s="385"/>
      <c r="D114" s="385"/>
      <c r="E114" s="385"/>
      <c r="F114" s="385"/>
      <c r="G114" s="386"/>
      <c r="H114" s="386"/>
      <c r="I114" s="386"/>
      <c r="J114" s="386"/>
      <c r="K114" s="386"/>
    </row>
    <row r="115" spans="1:11" ht="16.5">
      <c r="A115" s="398"/>
      <c r="B115" s="399"/>
      <c r="C115" s="385"/>
      <c r="D115" s="385"/>
      <c r="E115" s="385"/>
      <c r="F115" s="385"/>
      <c r="G115" s="386"/>
      <c r="H115" s="386"/>
      <c r="I115" s="386"/>
      <c r="J115" s="386"/>
      <c r="K115" s="386"/>
    </row>
    <row r="116" spans="1:11" ht="16.5">
      <c r="A116" s="398"/>
      <c r="B116" s="399"/>
      <c r="C116" s="385"/>
      <c r="D116" s="385"/>
      <c r="E116" s="385"/>
      <c r="F116" s="385"/>
      <c r="G116" s="386"/>
      <c r="H116" s="386"/>
      <c r="I116" s="386"/>
      <c r="J116" s="386"/>
      <c r="K116" s="386"/>
    </row>
    <row r="117" spans="1:11" ht="16.5">
      <c r="A117" s="398"/>
      <c r="B117" s="399"/>
      <c r="C117" s="385"/>
      <c r="D117" s="385"/>
      <c r="E117" s="385"/>
      <c r="F117" s="385"/>
      <c r="G117" s="386"/>
      <c r="H117" s="386"/>
      <c r="I117" s="386"/>
      <c r="J117" s="386"/>
      <c r="K117" s="386"/>
    </row>
    <row r="118" spans="1:11" ht="16.5">
      <c r="A118" s="398"/>
      <c r="B118" s="399"/>
      <c r="C118" s="385"/>
      <c r="D118" s="385"/>
      <c r="E118" s="385"/>
      <c r="F118" s="385"/>
      <c r="G118" s="386"/>
      <c r="H118" s="386"/>
      <c r="I118" s="386"/>
      <c r="J118" s="386"/>
      <c r="K118" s="386"/>
    </row>
    <row r="119" spans="1:11" ht="16.5">
      <c r="A119" s="398"/>
      <c r="B119" s="399"/>
      <c r="C119" s="385"/>
      <c r="D119" s="385"/>
      <c r="E119" s="385"/>
      <c r="F119" s="385"/>
      <c r="G119" s="386"/>
      <c r="H119" s="386"/>
      <c r="I119" s="386"/>
      <c r="J119" s="386"/>
      <c r="K119" s="386"/>
    </row>
    <row r="120" spans="1:11" ht="16.5">
      <c r="A120" s="398"/>
      <c r="B120" s="399"/>
      <c r="C120" s="385"/>
      <c r="D120" s="385"/>
      <c r="E120" s="385"/>
      <c r="F120" s="385"/>
      <c r="G120" s="386"/>
      <c r="H120" s="386"/>
      <c r="I120" s="386"/>
      <c r="J120" s="386"/>
      <c r="K120" s="386"/>
    </row>
    <row r="121" spans="1:11" ht="16.5">
      <c r="A121" s="398"/>
      <c r="B121" s="399"/>
      <c r="C121" s="385"/>
      <c r="D121" s="385"/>
      <c r="E121" s="385"/>
      <c r="F121" s="385"/>
      <c r="G121" s="386"/>
      <c r="H121" s="386"/>
      <c r="I121" s="386"/>
      <c r="J121" s="386"/>
      <c r="K121" s="386"/>
    </row>
    <row r="122" spans="1:11" ht="16.5">
      <c r="A122" s="398"/>
      <c r="B122" s="399"/>
      <c r="C122" s="385"/>
      <c r="D122" s="385"/>
      <c r="E122" s="385"/>
      <c r="F122" s="385"/>
      <c r="G122" s="386"/>
      <c r="H122" s="386"/>
      <c r="I122" s="386"/>
      <c r="J122" s="386"/>
      <c r="K122" s="386"/>
    </row>
    <row r="123" spans="1:11" ht="16.5">
      <c r="A123" s="398"/>
      <c r="B123" s="399"/>
      <c r="C123" s="385"/>
      <c r="D123" s="385"/>
      <c r="E123" s="385"/>
      <c r="F123" s="385"/>
      <c r="G123" s="386"/>
      <c r="H123" s="386"/>
      <c r="I123" s="386"/>
      <c r="J123" s="386"/>
      <c r="K123" s="386"/>
    </row>
    <row r="124" spans="1:11" ht="16.5">
      <c r="A124" s="398"/>
      <c r="B124" s="399"/>
      <c r="C124" s="385"/>
      <c r="D124" s="385"/>
      <c r="E124" s="385"/>
      <c r="F124" s="385"/>
      <c r="G124" s="386"/>
      <c r="H124" s="386"/>
      <c r="I124" s="386"/>
      <c r="J124" s="386"/>
      <c r="K124" s="386"/>
    </row>
    <row r="125" spans="1:11" ht="16.5">
      <c r="A125" s="398"/>
      <c r="B125" s="399"/>
      <c r="C125" s="385"/>
      <c r="D125" s="385"/>
      <c r="E125" s="385"/>
      <c r="F125" s="385"/>
      <c r="G125" s="386"/>
      <c r="H125" s="386"/>
      <c r="I125" s="386"/>
      <c r="J125" s="386"/>
      <c r="K125" s="386"/>
    </row>
    <row r="126" spans="1:11" ht="16.5">
      <c r="A126" s="398"/>
      <c r="B126" s="399"/>
      <c r="C126" s="385"/>
      <c r="D126" s="385"/>
      <c r="E126" s="385"/>
      <c r="F126" s="385"/>
      <c r="G126" s="386"/>
      <c r="H126" s="386"/>
      <c r="I126" s="386"/>
      <c r="J126" s="386"/>
      <c r="K126" s="386"/>
    </row>
    <row r="127" spans="1:11" ht="16.5">
      <c r="A127" s="398"/>
      <c r="B127" s="399"/>
      <c r="C127" s="385"/>
      <c r="D127" s="385"/>
      <c r="E127" s="385"/>
      <c r="F127" s="385"/>
      <c r="G127" s="386"/>
      <c r="H127" s="386"/>
      <c r="I127" s="386"/>
      <c r="J127" s="386"/>
      <c r="K127" s="386"/>
    </row>
    <row r="128" spans="1:11" ht="16.5">
      <c r="A128" s="398"/>
      <c r="B128" s="399"/>
      <c r="C128" s="385"/>
      <c r="D128" s="385"/>
      <c r="E128" s="385"/>
      <c r="F128" s="385"/>
      <c r="G128" s="386"/>
      <c r="H128" s="386"/>
      <c r="I128" s="386"/>
      <c r="J128" s="386"/>
      <c r="K128" s="386"/>
    </row>
    <row r="129" spans="1:11" ht="16.5">
      <c r="A129" s="398"/>
      <c r="B129" s="399"/>
      <c r="C129" s="385"/>
      <c r="D129" s="385"/>
      <c r="E129" s="385"/>
      <c r="F129" s="385"/>
      <c r="G129" s="386"/>
      <c r="H129" s="386"/>
      <c r="I129" s="386"/>
      <c r="J129" s="386"/>
      <c r="K129" s="386"/>
    </row>
    <row r="130" spans="1:11" ht="16.5">
      <c r="A130" s="398"/>
      <c r="B130" s="399"/>
      <c r="C130" s="385"/>
      <c r="D130" s="385"/>
      <c r="E130" s="385"/>
      <c r="F130" s="385"/>
      <c r="G130" s="386"/>
      <c r="H130" s="386"/>
      <c r="I130" s="386"/>
      <c r="J130" s="386"/>
      <c r="K130" s="386"/>
    </row>
    <row r="131" spans="1:11" ht="16.5">
      <c r="A131" s="398"/>
      <c r="B131" s="399"/>
      <c r="C131" s="385"/>
      <c r="D131" s="385"/>
      <c r="E131" s="385"/>
      <c r="F131" s="385"/>
      <c r="G131" s="386"/>
      <c r="H131" s="386"/>
      <c r="I131" s="386"/>
      <c r="J131" s="386"/>
      <c r="K131" s="386"/>
    </row>
    <row r="132" spans="1:11" ht="16.5">
      <c r="A132" s="398"/>
      <c r="B132" s="399"/>
      <c r="C132" s="385"/>
      <c r="D132" s="385"/>
      <c r="E132" s="385"/>
      <c r="F132" s="385"/>
      <c r="G132" s="386"/>
      <c r="H132" s="386"/>
      <c r="I132" s="386"/>
      <c r="J132" s="386"/>
      <c r="K132" s="386"/>
    </row>
    <row r="133" spans="1:11" ht="16.5">
      <c r="A133" s="398"/>
      <c r="B133" s="399"/>
      <c r="C133" s="385"/>
      <c r="D133" s="385"/>
      <c r="E133" s="385"/>
      <c r="F133" s="385"/>
      <c r="G133" s="386"/>
      <c r="H133" s="386"/>
      <c r="I133" s="386"/>
      <c r="J133" s="386"/>
      <c r="K133" s="386"/>
    </row>
    <row r="134" spans="1:11" ht="16.5">
      <c r="A134" s="398"/>
      <c r="B134" s="399"/>
      <c r="C134" s="385"/>
      <c r="D134" s="385"/>
      <c r="E134" s="385"/>
      <c r="F134" s="385"/>
      <c r="G134" s="386"/>
      <c r="H134" s="386"/>
      <c r="I134" s="386"/>
      <c r="J134" s="386"/>
      <c r="K134" s="386"/>
    </row>
    <row r="135" spans="1:11" ht="16.5">
      <c r="A135" s="398"/>
      <c r="B135" s="399"/>
      <c r="C135" s="385"/>
      <c r="D135" s="385"/>
      <c r="E135" s="385"/>
      <c r="F135" s="385"/>
      <c r="G135" s="386"/>
      <c r="H135" s="386"/>
      <c r="I135" s="386"/>
      <c r="J135" s="386"/>
      <c r="K135" s="386"/>
    </row>
    <row r="136" spans="1:11" ht="16.5">
      <c r="A136" s="398"/>
      <c r="B136" s="399"/>
      <c r="C136" s="385"/>
      <c r="D136" s="385"/>
      <c r="E136" s="385"/>
      <c r="F136" s="385"/>
      <c r="G136" s="386"/>
      <c r="H136" s="386"/>
      <c r="I136" s="386"/>
      <c r="J136" s="386"/>
      <c r="K136" s="386"/>
    </row>
    <row r="137" spans="1:11" ht="16.5">
      <c r="A137" s="398"/>
      <c r="B137" s="399"/>
      <c r="C137" s="385"/>
      <c r="D137" s="385"/>
      <c r="E137" s="385"/>
      <c r="F137" s="385"/>
      <c r="G137" s="386"/>
      <c r="H137" s="386"/>
      <c r="I137" s="386"/>
      <c r="J137" s="386"/>
      <c r="K137" s="386"/>
    </row>
    <row r="138" spans="1:11" ht="16.5">
      <c r="A138" s="398"/>
      <c r="B138" s="399"/>
      <c r="C138" s="385"/>
      <c r="D138" s="385"/>
      <c r="E138" s="385"/>
      <c r="F138" s="385"/>
      <c r="G138" s="386"/>
      <c r="H138" s="386"/>
      <c r="I138" s="386"/>
      <c r="J138" s="386"/>
      <c r="K138" s="386"/>
    </row>
    <row r="139" spans="1:11" ht="16.5">
      <c r="A139" s="398"/>
      <c r="B139" s="399"/>
      <c r="C139" s="385"/>
      <c r="D139" s="385"/>
      <c r="E139" s="385"/>
      <c r="F139" s="385"/>
      <c r="G139" s="386"/>
      <c r="H139" s="386"/>
      <c r="I139" s="386"/>
      <c r="J139" s="386"/>
      <c r="K139" s="386"/>
    </row>
    <row r="140" spans="1:11" ht="16.5">
      <c r="A140" s="398"/>
      <c r="B140" s="399"/>
      <c r="C140" s="385"/>
      <c r="D140" s="385"/>
      <c r="E140" s="385"/>
      <c r="F140" s="385"/>
      <c r="G140" s="386"/>
      <c r="H140" s="386"/>
      <c r="I140" s="386"/>
      <c r="J140" s="386"/>
      <c r="K140" s="386"/>
    </row>
    <row r="141" spans="1:11" ht="16.5">
      <c r="A141" s="398"/>
      <c r="B141" s="399"/>
      <c r="C141" s="385"/>
      <c r="D141" s="385"/>
      <c r="E141" s="385"/>
      <c r="F141" s="385"/>
      <c r="G141" s="386"/>
      <c r="H141" s="386"/>
      <c r="I141" s="386"/>
      <c r="J141" s="386"/>
      <c r="K141" s="386"/>
    </row>
    <row r="142" spans="1:11" ht="16.5">
      <c r="A142" s="398"/>
      <c r="B142" s="399"/>
      <c r="C142" s="385"/>
      <c r="D142" s="385"/>
      <c r="E142" s="385"/>
      <c r="F142" s="385"/>
      <c r="G142" s="386"/>
      <c r="H142" s="386"/>
      <c r="I142" s="386"/>
      <c r="J142" s="386"/>
      <c r="K142" s="386"/>
    </row>
    <row r="143" spans="1:11" ht="16.5">
      <c r="A143" s="398"/>
      <c r="B143" s="399"/>
      <c r="C143" s="385"/>
      <c r="D143" s="385"/>
      <c r="E143" s="385"/>
      <c r="F143" s="385"/>
      <c r="G143" s="386"/>
      <c r="H143" s="386"/>
      <c r="I143" s="386"/>
      <c r="J143" s="386"/>
      <c r="K143" s="386"/>
    </row>
    <row r="144" spans="1:11" ht="16.5">
      <c r="A144" s="398"/>
      <c r="B144" s="399"/>
      <c r="C144" s="385"/>
      <c r="D144" s="385"/>
      <c r="E144" s="385"/>
      <c r="F144" s="385"/>
      <c r="G144" s="386"/>
      <c r="H144" s="386"/>
      <c r="I144" s="386"/>
      <c r="J144" s="386"/>
      <c r="K144" s="386"/>
    </row>
    <row r="145" spans="1:11" ht="16.5">
      <c r="A145" s="398"/>
      <c r="B145" s="399"/>
      <c r="C145" s="385"/>
      <c r="D145" s="385"/>
      <c r="E145" s="385"/>
      <c r="F145" s="385"/>
      <c r="G145" s="386"/>
      <c r="H145" s="386"/>
      <c r="I145" s="386"/>
      <c r="J145" s="386"/>
      <c r="K145" s="386"/>
    </row>
    <row r="146" spans="1:11" ht="16.5">
      <c r="A146" s="398"/>
      <c r="B146" s="399"/>
      <c r="C146" s="385"/>
      <c r="D146" s="385"/>
      <c r="E146" s="385"/>
      <c r="F146" s="385"/>
      <c r="G146" s="386"/>
      <c r="H146" s="386"/>
      <c r="I146" s="386"/>
      <c r="J146" s="386"/>
      <c r="K146" s="386"/>
    </row>
    <row r="147" spans="1:11" ht="16.5">
      <c r="A147" s="398"/>
      <c r="B147" s="399"/>
      <c r="C147" s="385"/>
      <c r="D147" s="385"/>
      <c r="E147" s="385"/>
      <c r="F147" s="385"/>
      <c r="G147" s="386"/>
      <c r="H147" s="386"/>
      <c r="I147" s="386"/>
      <c r="J147" s="386"/>
      <c r="K147" s="386"/>
    </row>
    <row r="148" spans="1:11" ht="16.5">
      <c r="A148" s="398"/>
      <c r="B148" s="399"/>
      <c r="C148" s="385"/>
      <c r="D148" s="385"/>
      <c r="E148" s="385"/>
      <c r="F148" s="385"/>
      <c r="G148" s="386"/>
      <c r="H148" s="386"/>
      <c r="I148" s="386"/>
      <c r="J148" s="386"/>
      <c r="K148" s="386"/>
    </row>
    <row r="149" spans="1:11" ht="16.5">
      <c r="A149" s="398"/>
      <c r="B149" s="399"/>
      <c r="C149" s="385"/>
      <c r="D149" s="385"/>
      <c r="E149" s="385"/>
      <c r="F149" s="385"/>
      <c r="G149" s="386"/>
      <c r="H149" s="386"/>
      <c r="I149" s="386"/>
      <c r="J149" s="386"/>
      <c r="K149" s="386"/>
    </row>
    <row r="150" spans="1:11" ht="16.5">
      <c r="A150" s="398"/>
      <c r="B150" s="399"/>
      <c r="C150" s="385"/>
      <c r="D150" s="385"/>
      <c r="E150" s="385"/>
      <c r="F150" s="385"/>
      <c r="G150" s="386"/>
      <c r="H150" s="386"/>
      <c r="I150" s="386"/>
      <c r="J150" s="386"/>
      <c r="K150" s="386"/>
    </row>
    <row r="151" spans="1:11" ht="16.5">
      <c r="A151" s="398"/>
      <c r="B151" s="399"/>
      <c r="C151" s="385"/>
      <c r="D151" s="385"/>
      <c r="E151" s="385"/>
      <c r="F151" s="385"/>
      <c r="G151" s="386"/>
      <c r="H151" s="386"/>
      <c r="I151" s="386"/>
      <c r="J151" s="386"/>
      <c r="K151" s="386"/>
    </row>
    <row r="152" spans="1:11" ht="16.5">
      <c r="A152" s="398"/>
      <c r="B152" s="399"/>
      <c r="C152" s="385"/>
      <c r="D152" s="385"/>
      <c r="E152" s="385"/>
      <c r="F152" s="385"/>
      <c r="G152" s="386"/>
      <c r="H152" s="386"/>
      <c r="I152" s="386"/>
      <c r="J152" s="386"/>
      <c r="K152" s="386"/>
    </row>
    <row r="153" spans="1:11" ht="16.5">
      <c r="A153" s="398"/>
      <c r="B153" s="399"/>
      <c r="C153" s="385"/>
      <c r="D153" s="385"/>
      <c r="E153" s="385"/>
      <c r="F153" s="385"/>
      <c r="G153" s="386"/>
      <c r="H153" s="386"/>
      <c r="I153" s="386"/>
      <c r="J153" s="386"/>
      <c r="K153" s="386"/>
    </row>
    <row r="154" spans="1:11" ht="16.5">
      <c r="A154" s="398"/>
      <c r="B154" s="399"/>
      <c r="C154" s="385"/>
      <c r="D154" s="385"/>
      <c r="E154" s="385"/>
      <c r="F154" s="385"/>
      <c r="G154" s="386"/>
      <c r="H154" s="386"/>
      <c r="I154" s="386"/>
      <c r="J154" s="386"/>
      <c r="K154" s="386"/>
    </row>
    <row r="155" spans="1:11" ht="16.5">
      <c r="A155" s="398"/>
      <c r="B155" s="399"/>
      <c r="C155" s="385"/>
      <c r="D155" s="385"/>
      <c r="E155" s="385"/>
      <c r="F155" s="385"/>
      <c r="G155" s="386"/>
      <c r="H155" s="386"/>
      <c r="I155" s="386"/>
      <c r="J155" s="386"/>
      <c r="K155" s="386"/>
    </row>
    <row r="156" spans="1:11" ht="16.5">
      <c r="A156" s="398"/>
      <c r="B156" s="399"/>
      <c r="C156" s="385"/>
      <c r="D156" s="385"/>
      <c r="E156" s="385"/>
      <c r="F156" s="385"/>
      <c r="G156" s="386"/>
      <c r="H156" s="386"/>
      <c r="I156" s="386"/>
      <c r="J156" s="386"/>
      <c r="K156" s="386"/>
    </row>
    <row r="157" spans="1:11" ht="16.5">
      <c r="A157" s="398"/>
      <c r="B157" s="399"/>
      <c r="C157" s="385"/>
      <c r="D157" s="385"/>
      <c r="E157" s="385"/>
      <c r="F157" s="385"/>
      <c r="G157" s="386"/>
      <c r="H157" s="386"/>
      <c r="I157" s="386"/>
      <c r="J157" s="386"/>
      <c r="K157" s="386"/>
    </row>
    <row r="158" spans="1:11" ht="16.5">
      <c r="A158" s="398"/>
      <c r="B158" s="399"/>
      <c r="C158" s="385"/>
      <c r="D158" s="385"/>
      <c r="E158" s="385"/>
      <c r="F158" s="385"/>
      <c r="G158" s="386"/>
      <c r="H158" s="386"/>
      <c r="I158" s="386"/>
      <c r="J158" s="386"/>
      <c r="K158" s="386"/>
    </row>
    <row r="159" spans="1:11" ht="16.5">
      <c r="A159" s="398"/>
      <c r="B159" s="399"/>
      <c r="C159" s="385"/>
      <c r="D159" s="385"/>
      <c r="E159" s="385"/>
      <c r="F159" s="385"/>
      <c r="G159" s="386"/>
      <c r="H159" s="386"/>
      <c r="I159" s="386"/>
      <c r="J159" s="386"/>
      <c r="K159" s="386"/>
    </row>
    <row r="160" spans="1:11" ht="16.5">
      <c r="A160" s="398"/>
      <c r="B160" s="399"/>
      <c r="C160" s="385"/>
      <c r="D160" s="385"/>
      <c r="E160" s="385"/>
      <c r="F160" s="385"/>
      <c r="G160" s="386"/>
      <c r="H160" s="386"/>
      <c r="I160" s="386"/>
      <c r="J160" s="386"/>
      <c r="K160" s="386"/>
    </row>
    <row r="161" spans="1:11" ht="16.5">
      <c r="A161" s="398"/>
      <c r="B161" s="399"/>
      <c r="C161" s="385"/>
      <c r="D161" s="385"/>
      <c r="E161" s="385"/>
      <c r="F161" s="385"/>
      <c r="G161" s="386"/>
      <c r="H161" s="386"/>
      <c r="I161" s="386"/>
      <c r="J161" s="386"/>
      <c r="K161" s="386"/>
    </row>
    <row r="162" spans="1:11" ht="16.5">
      <c r="A162" s="398"/>
      <c r="B162" s="399"/>
      <c r="C162" s="385"/>
      <c r="D162" s="385"/>
      <c r="E162" s="385"/>
      <c r="F162" s="385"/>
      <c r="G162" s="386"/>
      <c r="H162" s="386"/>
      <c r="I162" s="386"/>
      <c r="J162" s="386"/>
      <c r="K162" s="386"/>
    </row>
    <row r="163" spans="1:11" ht="16.5">
      <c r="A163" s="398"/>
      <c r="B163" s="399"/>
      <c r="C163" s="385"/>
      <c r="D163" s="385"/>
      <c r="E163" s="385"/>
      <c r="F163" s="385"/>
      <c r="G163" s="386"/>
      <c r="H163" s="386"/>
      <c r="I163" s="386"/>
      <c r="J163" s="386"/>
      <c r="K163" s="386"/>
    </row>
    <row r="164" spans="1:11" ht="16.5">
      <c r="A164" s="398"/>
      <c r="B164" s="399"/>
      <c r="C164" s="385"/>
      <c r="D164" s="385"/>
      <c r="E164" s="385"/>
      <c r="F164" s="385"/>
      <c r="G164" s="386"/>
      <c r="H164" s="386"/>
      <c r="I164" s="386"/>
      <c r="J164" s="386"/>
      <c r="K164" s="386"/>
    </row>
    <row r="165" spans="1:11" ht="16.5">
      <c r="A165" s="398"/>
      <c r="B165" s="399"/>
      <c r="C165" s="385"/>
      <c r="D165" s="385"/>
      <c r="E165" s="385"/>
      <c r="F165" s="385"/>
      <c r="G165" s="386"/>
      <c r="H165" s="386"/>
      <c r="I165" s="386"/>
      <c r="J165" s="386"/>
      <c r="K165" s="386"/>
    </row>
    <row r="166" spans="1:11" ht="16.5">
      <c r="A166" s="398"/>
      <c r="B166" s="399"/>
      <c r="C166" s="385"/>
      <c r="D166" s="385"/>
      <c r="E166" s="385"/>
      <c r="F166" s="385"/>
      <c r="G166" s="386"/>
      <c r="H166" s="386"/>
      <c r="I166" s="386"/>
      <c r="J166" s="386"/>
      <c r="K166" s="386"/>
    </row>
    <row r="167" spans="1:11" ht="16.5">
      <c r="A167" s="398"/>
      <c r="B167" s="399"/>
      <c r="C167" s="385"/>
      <c r="D167" s="385"/>
      <c r="E167" s="385"/>
      <c r="F167" s="385"/>
      <c r="G167" s="386"/>
      <c r="H167" s="386"/>
      <c r="I167" s="386"/>
      <c r="J167" s="386"/>
      <c r="K167" s="386"/>
    </row>
    <row r="168" spans="1:11" ht="16.5">
      <c r="A168" s="398"/>
      <c r="B168" s="399"/>
      <c r="C168" s="385"/>
      <c r="D168" s="385"/>
      <c r="E168" s="385"/>
      <c r="F168" s="385"/>
      <c r="G168" s="386"/>
      <c r="H168" s="386"/>
      <c r="I168" s="386"/>
      <c r="J168" s="386"/>
      <c r="K168" s="386"/>
    </row>
    <row r="169" spans="1:11" ht="16.5">
      <c r="A169" s="398"/>
      <c r="B169" s="399"/>
      <c r="C169" s="385"/>
      <c r="D169" s="385"/>
      <c r="E169" s="385"/>
      <c r="F169" s="385"/>
      <c r="G169" s="386"/>
      <c r="H169" s="386"/>
      <c r="I169" s="386"/>
      <c r="J169" s="386"/>
      <c r="K169" s="386"/>
    </row>
    <row r="170" spans="1:11" ht="16.5">
      <c r="A170" s="398"/>
      <c r="B170" s="399"/>
      <c r="C170" s="385"/>
      <c r="D170" s="385"/>
      <c r="E170" s="385"/>
      <c r="F170" s="385"/>
      <c r="G170" s="386"/>
      <c r="H170" s="386"/>
      <c r="I170" s="386"/>
      <c r="J170" s="386"/>
      <c r="K170" s="386"/>
    </row>
    <row r="171" spans="1:11" ht="16.5">
      <c r="A171" s="398"/>
      <c r="B171" s="399"/>
      <c r="C171" s="385"/>
      <c r="D171" s="385"/>
      <c r="E171" s="385"/>
      <c r="F171" s="385"/>
      <c r="G171" s="386"/>
      <c r="H171" s="386"/>
      <c r="I171" s="386"/>
      <c r="J171" s="386"/>
      <c r="K171" s="386"/>
    </row>
    <row r="172" spans="1:11" ht="16.5">
      <c r="A172" s="398"/>
      <c r="B172" s="399"/>
      <c r="C172" s="385"/>
      <c r="D172" s="385"/>
      <c r="E172" s="385"/>
      <c r="F172" s="385"/>
      <c r="G172" s="386"/>
      <c r="H172" s="386"/>
      <c r="I172" s="386"/>
      <c r="J172" s="386"/>
      <c r="K172" s="386"/>
    </row>
    <row r="173" spans="1:11" ht="16.5">
      <c r="A173" s="398"/>
      <c r="B173" s="399"/>
      <c r="C173" s="385"/>
      <c r="D173" s="385"/>
      <c r="E173" s="385"/>
      <c r="F173" s="385"/>
      <c r="G173" s="386"/>
      <c r="H173" s="386"/>
      <c r="I173" s="386"/>
      <c r="J173" s="386"/>
      <c r="K173" s="386"/>
    </row>
    <row r="174" spans="1:11" ht="16.5">
      <c r="A174" s="398"/>
      <c r="B174" s="399"/>
      <c r="C174" s="385"/>
      <c r="D174" s="385"/>
      <c r="E174" s="385"/>
      <c r="F174" s="385"/>
      <c r="G174" s="386"/>
      <c r="H174" s="386"/>
      <c r="I174" s="386"/>
      <c r="J174" s="386"/>
      <c r="K174" s="386"/>
    </row>
    <row r="175" spans="1:11" ht="16.5">
      <c r="A175" s="398"/>
      <c r="B175" s="399"/>
      <c r="C175" s="385"/>
      <c r="D175" s="385"/>
      <c r="E175" s="385"/>
      <c r="F175" s="385"/>
      <c r="G175" s="386"/>
      <c r="H175" s="386"/>
      <c r="I175" s="386"/>
      <c r="J175" s="386"/>
      <c r="K175" s="386"/>
    </row>
    <row r="176" spans="1:11" ht="16.5">
      <c r="A176" s="398"/>
      <c r="B176" s="399"/>
      <c r="C176" s="385"/>
      <c r="D176" s="385"/>
      <c r="E176" s="385"/>
      <c r="F176" s="385"/>
      <c r="G176" s="386"/>
      <c r="H176" s="386"/>
      <c r="I176" s="386"/>
      <c r="J176" s="386"/>
      <c r="K176" s="386"/>
    </row>
    <row r="177" spans="1:11" ht="16.5">
      <c r="A177" s="398"/>
      <c r="B177" s="399"/>
      <c r="C177" s="385"/>
      <c r="D177" s="385"/>
      <c r="E177" s="385"/>
      <c r="F177" s="385"/>
      <c r="G177" s="386"/>
      <c r="H177" s="386"/>
      <c r="I177" s="386"/>
      <c r="J177" s="386"/>
      <c r="K177" s="386"/>
    </row>
    <row r="178" spans="1:11" ht="16.5">
      <c r="A178" s="398"/>
      <c r="B178" s="399"/>
      <c r="C178" s="385"/>
      <c r="D178" s="385"/>
      <c r="E178" s="385"/>
      <c r="F178" s="385"/>
      <c r="G178" s="386"/>
      <c r="H178" s="386"/>
      <c r="I178" s="386"/>
      <c r="J178" s="386"/>
      <c r="K178" s="386"/>
    </row>
    <row r="179" spans="1:11" ht="16.5">
      <c r="A179" s="398"/>
      <c r="B179" s="399"/>
      <c r="C179" s="385"/>
      <c r="D179" s="385"/>
      <c r="E179" s="385"/>
      <c r="F179" s="385"/>
      <c r="G179" s="386"/>
      <c r="H179" s="386"/>
      <c r="I179" s="386"/>
      <c r="J179" s="386"/>
      <c r="K179" s="386"/>
    </row>
    <row r="180" spans="1:11" ht="16.5">
      <c r="A180" s="398"/>
      <c r="B180" s="399"/>
      <c r="C180" s="385"/>
      <c r="D180" s="385"/>
      <c r="E180" s="385"/>
      <c r="F180" s="385"/>
      <c r="G180" s="386"/>
      <c r="H180" s="386"/>
      <c r="I180" s="386"/>
      <c r="J180" s="386"/>
      <c r="K180" s="386"/>
    </row>
    <row r="181" spans="1:11" ht="16.5">
      <c r="A181" s="398"/>
      <c r="B181" s="399"/>
      <c r="C181" s="385"/>
      <c r="D181" s="385"/>
      <c r="E181" s="385"/>
      <c r="F181" s="385"/>
      <c r="G181" s="386"/>
      <c r="H181" s="386"/>
      <c r="I181" s="386"/>
      <c r="J181" s="386"/>
      <c r="K181" s="386"/>
    </row>
    <row r="182" spans="1:11" ht="16.5">
      <c r="A182" s="398"/>
      <c r="B182" s="399"/>
      <c r="C182" s="385"/>
      <c r="D182" s="385"/>
      <c r="E182" s="385"/>
      <c r="F182" s="385"/>
      <c r="G182" s="386"/>
      <c r="H182" s="386"/>
      <c r="I182" s="386"/>
      <c r="J182" s="386"/>
      <c r="K182" s="386"/>
    </row>
    <row r="183" spans="1:11" ht="16.5">
      <c r="A183" s="398"/>
      <c r="B183" s="399"/>
      <c r="C183" s="385"/>
      <c r="D183" s="385"/>
      <c r="E183" s="385"/>
      <c r="F183" s="385"/>
      <c r="G183" s="386"/>
      <c r="H183" s="386"/>
      <c r="I183" s="386"/>
      <c r="J183" s="386"/>
      <c r="K183" s="386"/>
    </row>
    <row r="184" spans="1:11" ht="16.5">
      <c r="A184" s="398"/>
      <c r="B184" s="399"/>
      <c r="C184" s="385"/>
      <c r="D184" s="385"/>
      <c r="E184" s="385"/>
      <c r="F184" s="385"/>
      <c r="G184" s="386"/>
      <c r="H184" s="386"/>
      <c r="I184" s="386"/>
      <c r="J184" s="386"/>
      <c r="K184" s="386"/>
    </row>
    <row r="185" spans="1:11" ht="16.5">
      <c r="A185" s="398"/>
      <c r="B185" s="399"/>
      <c r="C185" s="385"/>
      <c r="D185" s="385"/>
      <c r="E185" s="385"/>
      <c r="F185" s="385"/>
      <c r="G185" s="386"/>
      <c r="H185" s="386"/>
      <c r="I185" s="386"/>
      <c r="J185" s="386"/>
      <c r="K185" s="386"/>
    </row>
    <row r="186" spans="1:11" ht="16.5">
      <c r="A186" s="398"/>
      <c r="B186" s="399"/>
      <c r="C186" s="385"/>
      <c r="D186" s="385"/>
      <c r="E186" s="385"/>
      <c r="F186" s="385"/>
      <c r="G186" s="386"/>
      <c r="H186" s="386"/>
      <c r="I186" s="386"/>
      <c r="J186" s="386"/>
      <c r="K186" s="386"/>
    </row>
    <row r="187" spans="1:11" ht="16.5">
      <c r="A187" s="398"/>
      <c r="B187" s="399"/>
      <c r="C187" s="385"/>
      <c r="D187" s="385"/>
      <c r="E187" s="385"/>
      <c r="F187" s="385"/>
      <c r="G187" s="386"/>
      <c r="H187" s="386"/>
      <c r="I187" s="386"/>
      <c r="J187" s="386"/>
      <c r="K187" s="386"/>
    </row>
    <row r="188" spans="1:11" ht="16.5">
      <c r="A188" s="398"/>
      <c r="B188" s="399"/>
      <c r="C188" s="385"/>
      <c r="D188" s="385"/>
      <c r="E188" s="385"/>
      <c r="F188" s="385"/>
      <c r="G188" s="386"/>
      <c r="H188" s="386"/>
      <c r="I188" s="386"/>
      <c r="J188" s="386"/>
      <c r="K188" s="386"/>
    </row>
    <row r="189" spans="1:11" ht="16.5">
      <c r="A189" s="398"/>
      <c r="B189" s="399"/>
      <c r="C189" s="385"/>
      <c r="D189" s="385"/>
      <c r="E189" s="385"/>
      <c r="F189" s="385"/>
      <c r="G189" s="386"/>
      <c r="H189" s="386"/>
      <c r="I189" s="386"/>
      <c r="J189" s="386"/>
      <c r="K189" s="386"/>
    </row>
    <row r="190" spans="1:11" ht="16.5">
      <c r="A190" s="398"/>
      <c r="B190" s="399"/>
      <c r="C190" s="385"/>
      <c r="D190" s="385"/>
      <c r="E190" s="385"/>
      <c r="F190" s="385"/>
      <c r="G190" s="386"/>
      <c r="H190" s="386"/>
      <c r="I190" s="386"/>
      <c r="J190" s="386"/>
      <c r="K190" s="386"/>
    </row>
    <row r="191" spans="1:11" ht="16.5">
      <c r="A191" s="398"/>
      <c r="B191" s="399"/>
      <c r="C191" s="385"/>
      <c r="D191" s="385"/>
      <c r="E191" s="385"/>
      <c r="F191" s="385"/>
      <c r="G191" s="386"/>
      <c r="H191" s="386"/>
      <c r="I191" s="386"/>
      <c r="J191" s="386"/>
      <c r="K191" s="386"/>
    </row>
    <row r="192" spans="1:11" ht="16.5">
      <c r="A192" s="398"/>
      <c r="B192" s="399"/>
      <c r="C192" s="385"/>
      <c r="D192" s="385"/>
      <c r="E192" s="385"/>
      <c r="F192" s="385"/>
      <c r="G192" s="386"/>
      <c r="H192" s="386"/>
      <c r="I192" s="386"/>
      <c r="J192" s="386"/>
      <c r="K192" s="386"/>
    </row>
    <row r="193" spans="1:11" ht="16.5">
      <c r="A193" s="398"/>
      <c r="B193" s="399"/>
      <c r="C193" s="385"/>
      <c r="D193" s="385"/>
      <c r="E193" s="385"/>
      <c r="F193" s="385"/>
      <c r="G193" s="386"/>
      <c r="H193" s="386"/>
      <c r="I193" s="386"/>
      <c r="J193" s="386"/>
      <c r="K193" s="386"/>
    </row>
    <row r="194" spans="1:11" ht="16.5">
      <c r="A194" s="398"/>
      <c r="B194" s="399"/>
      <c r="C194" s="385"/>
      <c r="D194" s="385"/>
      <c r="E194" s="385"/>
      <c r="F194" s="385"/>
      <c r="G194" s="386"/>
      <c r="H194" s="386"/>
      <c r="I194" s="386"/>
      <c r="J194" s="386"/>
      <c r="K194" s="386"/>
    </row>
    <row r="195" spans="1:11" ht="16.5">
      <c r="A195" s="398"/>
      <c r="B195" s="399"/>
      <c r="C195" s="385"/>
      <c r="D195" s="385"/>
      <c r="E195" s="385"/>
      <c r="F195" s="385"/>
      <c r="G195" s="386"/>
      <c r="H195" s="386"/>
      <c r="I195" s="386"/>
      <c r="J195" s="386"/>
      <c r="K195" s="386"/>
    </row>
    <row r="196" spans="1:11" ht="16.5">
      <c r="A196" s="398"/>
      <c r="B196" s="399"/>
      <c r="C196" s="385"/>
      <c r="D196" s="385"/>
      <c r="E196" s="385"/>
      <c r="F196" s="385"/>
      <c r="G196" s="386"/>
      <c r="H196" s="386"/>
      <c r="I196" s="386"/>
      <c r="J196" s="386"/>
      <c r="K196" s="386"/>
    </row>
    <row r="197" spans="1:11" ht="16.5">
      <c r="A197" s="398"/>
      <c r="B197" s="399"/>
      <c r="C197" s="385"/>
      <c r="D197" s="385"/>
      <c r="E197" s="385"/>
      <c r="F197" s="385"/>
      <c r="G197" s="386"/>
      <c r="H197" s="386"/>
      <c r="I197" s="386"/>
      <c r="J197" s="386"/>
      <c r="K197" s="386"/>
    </row>
    <row r="198" spans="1:11" ht="16.5">
      <c r="A198" s="398"/>
      <c r="B198" s="399"/>
      <c r="C198" s="385"/>
      <c r="D198" s="385"/>
      <c r="E198" s="385"/>
      <c r="F198" s="385"/>
      <c r="G198" s="386"/>
      <c r="H198" s="386"/>
      <c r="I198" s="386"/>
      <c r="J198" s="386"/>
      <c r="K198" s="386"/>
    </row>
    <row r="199" spans="1:11" ht="16.5">
      <c r="A199" s="398"/>
      <c r="B199" s="399"/>
      <c r="C199" s="385"/>
      <c r="D199" s="385"/>
      <c r="E199" s="385"/>
      <c r="F199" s="385"/>
      <c r="G199" s="386"/>
      <c r="H199" s="386"/>
      <c r="I199" s="386"/>
      <c r="J199" s="386"/>
      <c r="K199" s="386"/>
    </row>
    <row r="200" spans="1:11" ht="16.5">
      <c r="A200" s="398"/>
      <c r="B200" s="399"/>
      <c r="C200" s="385"/>
      <c r="D200" s="385"/>
      <c r="E200" s="385"/>
      <c r="F200" s="385"/>
      <c r="G200" s="386"/>
      <c r="H200" s="386"/>
      <c r="I200" s="386"/>
      <c r="J200" s="386"/>
      <c r="K200" s="386"/>
    </row>
    <row r="201" spans="1:11" ht="16.5">
      <c r="A201" s="398"/>
      <c r="B201" s="399"/>
      <c r="C201" s="385"/>
      <c r="D201" s="385"/>
      <c r="E201" s="385"/>
      <c r="F201" s="385"/>
      <c r="G201" s="386"/>
      <c r="H201" s="386"/>
      <c r="I201" s="386"/>
      <c r="J201" s="386"/>
      <c r="K201" s="386"/>
    </row>
    <row r="202" spans="1:11" ht="16.5">
      <c r="A202" s="398"/>
      <c r="B202" s="399"/>
      <c r="C202" s="385"/>
      <c r="D202" s="385"/>
      <c r="E202" s="385"/>
      <c r="F202" s="385"/>
      <c r="G202" s="386"/>
      <c r="H202" s="386"/>
      <c r="I202" s="386"/>
      <c r="J202" s="386"/>
      <c r="K202" s="386"/>
    </row>
    <row r="203" spans="1:11" ht="16.5">
      <c r="A203" s="398"/>
      <c r="B203" s="399"/>
      <c r="C203" s="385"/>
      <c r="D203" s="385"/>
      <c r="E203" s="385"/>
      <c r="F203" s="385"/>
      <c r="G203" s="386"/>
      <c r="H203" s="386"/>
      <c r="I203" s="386"/>
      <c r="J203" s="386"/>
      <c r="K203" s="386"/>
    </row>
    <row r="204" spans="1:11" ht="16.5">
      <c r="A204" s="398"/>
      <c r="B204" s="399"/>
      <c r="C204" s="385"/>
      <c r="D204" s="385"/>
      <c r="E204" s="385"/>
      <c r="F204" s="385"/>
      <c r="G204" s="386"/>
      <c r="H204" s="386"/>
      <c r="I204" s="386"/>
      <c r="J204" s="386"/>
      <c r="K204" s="386"/>
    </row>
    <row r="205" spans="1:11" ht="16.5">
      <c r="A205" s="398"/>
      <c r="B205" s="399"/>
      <c r="C205" s="385"/>
      <c r="D205" s="385"/>
      <c r="E205" s="385"/>
      <c r="F205" s="385"/>
      <c r="G205" s="386"/>
      <c r="H205" s="386"/>
      <c r="I205" s="386"/>
      <c r="J205" s="386"/>
      <c r="K205" s="386"/>
    </row>
    <row r="206" spans="1:11" ht="16.5">
      <c r="A206" s="398"/>
      <c r="B206" s="399"/>
      <c r="C206" s="385"/>
      <c r="D206" s="385"/>
      <c r="E206" s="385"/>
      <c r="F206" s="385"/>
      <c r="G206" s="386"/>
      <c r="H206" s="386"/>
      <c r="I206" s="386"/>
      <c r="J206" s="386"/>
      <c r="K206" s="386"/>
    </row>
    <row r="207" spans="1:11" ht="16.5">
      <c r="A207" s="398"/>
      <c r="B207" s="399"/>
      <c r="C207" s="385"/>
      <c r="D207" s="385"/>
      <c r="E207" s="385"/>
      <c r="F207" s="385"/>
      <c r="G207" s="386"/>
      <c r="H207" s="386"/>
      <c r="I207" s="386"/>
      <c r="J207" s="386"/>
      <c r="K207" s="386"/>
    </row>
    <row r="208" spans="1:11" ht="16.5">
      <c r="A208" s="398"/>
      <c r="B208" s="399"/>
      <c r="C208" s="385"/>
      <c r="D208" s="385"/>
      <c r="E208" s="385"/>
      <c r="F208" s="385"/>
      <c r="G208" s="386"/>
      <c r="H208" s="386"/>
      <c r="I208" s="386"/>
      <c r="J208" s="386"/>
      <c r="K208" s="386"/>
    </row>
    <row r="209" spans="1:11" ht="16.5">
      <c r="A209" s="398"/>
      <c r="B209" s="399"/>
      <c r="C209" s="385"/>
      <c r="D209" s="385"/>
      <c r="E209" s="385"/>
      <c r="F209" s="385"/>
      <c r="G209" s="386"/>
      <c r="H209" s="386"/>
      <c r="I209" s="386"/>
      <c r="J209" s="386"/>
      <c r="K209" s="386"/>
    </row>
    <row r="210" spans="1:11" ht="16.5">
      <c r="A210" s="398"/>
      <c r="B210" s="399"/>
      <c r="C210" s="385"/>
      <c r="D210" s="385"/>
      <c r="E210" s="385"/>
      <c r="F210" s="385"/>
      <c r="G210" s="386"/>
      <c r="H210" s="386"/>
      <c r="I210" s="386"/>
      <c r="J210" s="386"/>
      <c r="K210" s="386"/>
    </row>
    <row r="211" spans="1:11" ht="16.5">
      <c r="A211" s="398"/>
      <c r="B211" s="399"/>
      <c r="C211" s="385"/>
      <c r="D211" s="385"/>
      <c r="E211" s="385"/>
      <c r="F211" s="385"/>
      <c r="G211" s="386"/>
      <c r="H211" s="386"/>
      <c r="I211" s="386"/>
      <c r="J211" s="386"/>
      <c r="K211" s="386"/>
    </row>
    <row r="212" spans="1:11" ht="16.5">
      <c r="A212" s="398"/>
      <c r="B212" s="399"/>
      <c r="C212" s="385"/>
      <c r="D212" s="385"/>
      <c r="E212" s="385"/>
      <c r="F212" s="385"/>
      <c r="G212" s="386"/>
      <c r="H212" s="386"/>
      <c r="I212" s="386"/>
      <c r="J212" s="386"/>
      <c r="K212" s="386"/>
    </row>
    <row r="213" spans="1:11" ht="16.5">
      <c r="A213" s="398"/>
      <c r="B213" s="399"/>
      <c r="C213" s="385"/>
      <c r="D213" s="385"/>
      <c r="E213" s="385"/>
      <c r="F213" s="385"/>
      <c r="G213" s="386"/>
      <c r="H213" s="386"/>
      <c r="I213" s="386"/>
      <c r="J213" s="386"/>
      <c r="K213" s="386"/>
    </row>
    <row r="214" spans="1:11" ht="16.5">
      <c r="A214" s="398"/>
      <c r="B214" s="399"/>
      <c r="C214" s="385"/>
      <c r="D214" s="385"/>
      <c r="E214" s="385"/>
      <c r="F214" s="385"/>
      <c r="G214" s="386"/>
      <c r="H214" s="386"/>
      <c r="I214" s="386"/>
      <c r="J214" s="386"/>
      <c r="K214" s="386"/>
    </row>
    <row r="215" spans="1:11" ht="16.5">
      <c r="A215" s="398"/>
      <c r="B215" s="399"/>
      <c r="C215" s="385"/>
      <c r="D215" s="385"/>
      <c r="E215" s="385"/>
      <c r="F215" s="385"/>
      <c r="G215" s="386"/>
      <c r="H215" s="386"/>
      <c r="I215" s="386"/>
      <c r="J215" s="386"/>
      <c r="K215" s="386"/>
    </row>
    <row r="216" spans="1:11" ht="16.5">
      <c r="A216" s="398"/>
      <c r="B216" s="399"/>
      <c r="C216" s="385"/>
      <c r="D216" s="385"/>
      <c r="E216" s="385"/>
      <c r="F216" s="385"/>
      <c r="G216" s="386"/>
      <c r="H216" s="386"/>
      <c r="I216" s="386"/>
      <c r="J216" s="386"/>
      <c r="K216" s="386"/>
    </row>
    <row r="217" spans="1:11" ht="16.5">
      <c r="A217" s="398"/>
      <c r="B217" s="399"/>
      <c r="C217" s="385"/>
      <c r="D217" s="385"/>
      <c r="E217" s="385"/>
      <c r="F217" s="385"/>
      <c r="G217" s="386"/>
      <c r="H217" s="386"/>
      <c r="I217" s="386"/>
      <c r="J217" s="386"/>
      <c r="K217" s="386"/>
    </row>
    <row r="218" spans="1:11" ht="16.5">
      <c r="A218" s="398"/>
      <c r="B218" s="399"/>
      <c r="C218" s="385"/>
      <c r="D218" s="385"/>
      <c r="E218" s="385"/>
      <c r="F218" s="385"/>
      <c r="G218" s="386"/>
      <c r="H218" s="386"/>
      <c r="I218" s="386"/>
      <c r="J218" s="386"/>
      <c r="K218" s="386"/>
    </row>
    <row r="219" spans="1:11" ht="16.5">
      <c r="A219" s="398"/>
      <c r="B219" s="399"/>
      <c r="C219" s="385"/>
      <c r="D219" s="385"/>
      <c r="E219" s="385"/>
      <c r="F219" s="385"/>
      <c r="G219" s="386"/>
      <c r="H219" s="386"/>
      <c r="I219" s="386"/>
      <c r="J219" s="386"/>
      <c r="K219" s="386"/>
    </row>
    <row r="220" spans="1:11" ht="16.5">
      <c r="A220" s="398"/>
      <c r="B220" s="399"/>
      <c r="C220" s="385"/>
      <c r="D220" s="385"/>
      <c r="E220" s="385"/>
      <c r="F220" s="385"/>
      <c r="G220" s="386"/>
      <c r="H220" s="386"/>
      <c r="I220" s="386"/>
      <c r="J220" s="386"/>
      <c r="K220" s="386"/>
    </row>
    <row r="221" spans="1:11" ht="16.5">
      <c r="A221" s="398"/>
      <c r="B221" s="399"/>
      <c r="C221" s="385"/>
      <c r="D221" s="385"/>
      <c r="E221" s="385"/>
      <c r="F221" s="385"/>
      <c r="G221" s="386"/>
      <c r="H221" s="386"/>
      <c r="I221" s="386"/>
      <c r="J221" s="386"/>
      <c r="K221" s="386"/>
    </row>
    <row r="222" spans="1:11" ht="16.5">
      <c r="A222" s="398"/>
      <c r="B222" s="399"/>
      <c r="C222" s="385"/>
      <c r="D222" s="385"/>
      <c r="E222" s="385"/>
      <c r="F222" s="385"/>
      <c r="G222" s="386"/>
      <c r="H222" s="386"/>
      <c r="I222" s="386"/>
      <c r="J222" s="386"/>
      <c r="K222" s="386"/>
    </row>
    <row r="223" spans="1:11" ht="16.5">
      <c r="A223" s="398"/>
      <c r="B223" s="399"/>
      <c r="C223" s="385"/>
      <c r="D223" s="385"/>
      <c r="E223" s="385"/>
      <c r="F223" s="385"/>
      <c r="G223" s="386"/>
      <c r="H223" s="386"/>
      <c r="I223" s="386"/>
      <c r="J223" s="386"/>
      <c r="K223" s="386"/>
    </row>
    <row r="224" spans="1:11" ht="16.5">
      <c r="A224" s="398"/>
      <c r="B224" s="399"/>
      <c r="C224" s="385"/>
      <c r="D224" s="385"/>
      <c r="E224" s="385"/>
      <c r="F224" s="385"/>
      <c r="G224" s="386"/>
      <c r="H224" s="386"/>
      <c r="I224" s="386"/>
      <c r="J224" s="386"/>
      <c r="K224" s="386"/>
    </row>
    <row r="225" spans="1:11" ht="16.5">
      <c r="A225" s="398"/>
      <c r="B225" s="399"/>
      <c r="C225" s="385"/>
      <c r="D225" s="385"/>
      <c r="E225" s="385"/>
      <c r="F225" s="385"/>
      <c r="G225" s="386"/>
      <c r="H225" s="386"/>
      <c r="I225" s="386"/>
      <c r="J225" s="386"/>
      <c r="K225" s="386"/>
    </row>
    <row r="226" spans="1:11" ht="16.5">
      <c r="A226" s="398"/>
      <c r="B226" s="399"/>
      <c r="C226" s="385"/>
      <c r="D226" s="385"/>
      <c r="E226" s="385"/>
      <c r="F226" s="385"/>
      <c r="G226" s="386"/>
      <c r="H226" s="386"/>
      <c r="I226" s="386"/>
      <c r="J226" s="386"/>
      <c r="K226" s="386"/>
    </row>
    <row r="227" spans="1:11" ht="16.5">
      <c r="A227" s="398"/>
      <c r="B227" s="399"/>
      <c r="C227" s="385"/>
      <c r="D227" s="385"/>
      <c r="E227" s="385"/>
      <c r="F227" s="385"/>
      <c r="G227" s="386"/>
      <c r="H227" s="386"/>
      <c r="I227" s="386"/>
      <c r="J227" s="386"/>
      <c r="K227" s="386"/>
    </row>
    <row r="228" spans="1:11" ht="16.5">
      <c r="A228" s="398"/>
      <c r="B228" s="399"/>
      <c r="C228" s="385"/>
      <c r="D228" s="385"/>
      <c r="E228" s="385"/>
      <c r="F228" s="385"/>
      <c r="G228" s="386"/>
      <c r="H228" s="386"/>
      <c r="I228" s="386"/>
      <c r="J228" s="386"/>
      <c r="K228" s="386"/>
    </row>
    <row r="229" spans="1:11" ht="16.5">
      <c r="A229" s="398"/>
      <c r="B229" s="399"/>
      <c r="C229" s="385"/>
      <c r="D229" s="385"/>
      <c r="E229" s="385"/>
      <c r="F229" s="385"/>
      <c r="G229" s="386"/>
      <c r="H229" s="386"/>
      <c r="I229" s="386"/>
      <c r="J229" s="386"/>
      <c r="K229" s="386"/>
    </row>
    <row r="230" spans="1:11" ht="16.5">
      <c r="A230" s="398"/>
      <c r="B230" s="399"/>
      <c r="C230" s="385"/>
      <c r="D230" s="385"/>
      <c r="E230" s="385"/>
      <c r="F230" s="385"/>
      <c r="G230" s="386"/>
      <c r="H230" s="386"/>
      <c r="I230" s="386"/>
      <c r="J230" s="386"/>
      <c r="K230" s="386"/>
    </row>
    <row r="231" spans="1:11" ht="16.5">
      <c r="A231" s="398"/>
      <c r="B231" s="399"/>
      <c r="C231" s="385"/>
      <c r="D231" s="385"/>
      <c r="E231" s="385"/>
      <c r="F231" s="385"/>
      <c r="G231" s="386"/>
      <c r="H231" s="386"/>
      <c r="I231" s="386"/>
      <c r="J231" s="386"/>
      <c r="K231" s="386"/>
    </row>
    <row r="232" spans="1:11" ht="16.5">
      <c r="A232" s="398"/>
      <c r="B232" s="399"/>
      <c r="C232" s="385"/>
      <c r="D232" s="385"/>
      <c r="E232" s="385"/>
      <c r="F232" s="385"/>
      <c r="G232" s="386"/>
      <c r="H232" s="386"/>
      <c r="I232" s="386"/>
      <c r="J232" s="386"/>
      <c r="K232" s="386"/>
    </row>
    <row r="233" spans="1:11" ht="16.5">
      <c r="A233" s="398"/>
      <c r="B233" s="399"/>
      <c r="C233" s="385"/>
      <c r="D233" s="385"/>
      <c r="E233" s="385"/>
      <c r="F233" s="385"/>
      <c r="G233" s="386"/>
      <c r="H233" s="386"/>
      <c r="I233" s="386"/>
      <c r="J233" s="386"/>
      <c r="K233" s="386"/>
    </row>
    <row r="234" spans="1:11" ht="16.5">
      <c r="A234" s="398"/>
      <c r="B234" s="399"/>
      <c r="C234" s="385"/>
      <c r="D234" s="385"/>
      <c r="E234" s="385"/>
      <c r="F234" s="385"/>
      <c r="G234" s="386"/>
      <c r="H234" s="386"/>
      <c r="I234" s="386"/>
      <c r="J234" s="386"/>
      <c r="K234" s="386"/>
    </row>
    <row r="235" spans="1:11" ht="16.5">
      <c r="A235" s="398"/>
      <c r="B235" s="399"/>
      <c r="C235" s="385"/>
      <c r="D235" s="385"/>
      <c r="E235" s="385"/>
      <c r="F235" s="385"/>
      <c r="G235" s="386"/>
      <c r="H235" s="386"/>
      <c r="I235" s="386"/>
      <c r="J235" s="386"/>
      <c r="K235" s="386"/>
    </row>
    <row r="236" spans="1:11" ht="16.5">
      <c r="A236" s="398"/>
      <c r="B236" s="399"/>
      <c r="C236" s="385"/>
      <c r="D236" s="385"/>
      <c r="E236" s="385"/>
      <c r="F236" s="385"/>
      <c r="G236" s="386"/>
      <c r="H236" s="386"/>
      <c r="I236" s="386"/>
      <c r="J236" s="386"/>
      <c r="K236" s="386"/>
    </row>
  </sheetData>
  <sheetProtection/>
  <mergeCells count="12">
    <mergeCell ref="N5:R5"/>
    <mergeCell ref="B5:B6"/>
    <mergeCell ref="C5:C6"/>
    <mergeCell ref="D5:D6"/>
    <mergeCell ref="E5:E6"/>
    <mergeCell ref="B2:M2"/>
    <mergeCell ref="G5:K5"/>
    <mergeCell ref="J1:K1"/>
    <mergeCell ref="A3:M3"/>
    <mergeCell ref="L5:L6"/>
    <mergeCell ref="M5:M6"/>
    <mergeCell ref="A5:A6"/>
  </mergeCells>
  <printOptions horizontalCentered="1"/>
  <pageMargins left="0.708661417322835" right="0.47244094488189" top="0.433070866141732" bottom="0.275590551181102" header="0.118110236220472" footer="0.196850393700787"/>
  <pageSetup fitToHeight="0" fitToWidth="1" horizontalDpi="600" verticalDpi="600" orientation="landscape" paperSize="9" scale="69" r:id="rId1"/>
  <headerFooter alignWithMargins="0">
    <oddFooter>&amp;R&amp;"Times New Roman,Regular"&amp;12&amp;P/&amp;N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7"/>
  <sheetViews>
    <sheetView view="pageBreakPreview" zoomScale="85" zoomScaleNormal="70" zoomScaleSheetLayoutView="85" zoomScalePageLayoutView="0" workbookViewId="0" topLeftCell="A4">
      <pane xSplit="3" ySplit="3" topLeftCell="D24" activePane="bottomRight" state="frozen"/>
      <selection pane="topLeft" activeCell="A4" sqref="A4"/>
      <selection pane="topRight" activeCell="D4" sqref="D4"/>
      <selection pane="bottomLeft" activeCell="A7" sqref="A7"/>
      <selection pane="bottomRight" activeCell="I21" sqref="I21"/>
    </sheetView>
  </sheetViews>
  <sheetFormatPr defaultColWidth="9.140625" defaultRowHeight="12.75"/>
  <cols>
    <col min="1" max="1" width="5.8515625" style="457" customWidth="1"/>
    <col min="2" max="2" width="37.8515625" style="446" customWidth="1"/>
    <col min="3" max="3" width="14.8515625" style="469" customWidth="1"/>
    <col min="4" max="4" width="14.57421875" style="457" customWidth="1"/>
    <col min="5" max="5" width="14.57421875" style="495" customWidth="1"/>
    <col min="6" max="8" width="13.140625" style="445" customWidth="1"/>
    <col min="9" max="9" width="13.140625" style="457" customWidth="1"/>
    <col min="10" max="12" width="15.421875" style="445" customWidth="1"/>
    <col min="13" max="13" width="20.57421875" style="445" customWidth="1"/>
    <col min="14" max="14" width="14.421875" style="445" customWidth="1"/>
    <col min="15" max="15" width="14.28125" style="445" customWidth="1"/>
    <col min="16" max="16" width="13.8515625" style="445" customWidth="1"/>
    <col min="17" max="17" width="14.8515625" style="445" customWidth="1"/>
    <col min="18" max="18" width="18.140625" style="445" customWidth="1"/>
    <col min="19" max="19" width="14.8515625" style="445" customWidth="1"/>
    <col min="20" max="22" width="9.140625" style="445" customWidth="1"/>
    <col min="23" max="23" width="11.57421875" style="445" bestFit="1" customWidth="1"/>
    <col min="24" max="16384" width="9.140625" style="445" customWidth="1"/>
  </cols>
  <sheetData>
    <row r="1" spans="2:13" s="463" customFormat="1" ht="27.75" customHeight="1">
      <c r="B1" s="459" t="s">
        <v>383</v>
      </c>
      <c r="C1" s="464"/>
      <c r="D1" s="464"/>
      <c r="E1" s="493"/>
      <c r="H1" s="988" t="s">
        <v>332</v>
      </c>
      <c r="I1" s="988"/>
      <c r="J1" s="478" t="s">
        <v>565</v>
      </c>
      <c r="K1" s="478"/>
      <c r="L1" s="478"/>
      <c r="M1" s="478"/>
    </row>
    <row r="2" spans="1:13" ht="27.75" customHeight="1">
      <c r="A2" s="445"/>
      <c r="B2" s="991" t="str">
        <f>'BM6'!B2:M2</f>
        <v>Huyện Tuần Giáo</v>
      </c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480"/>
    </row>
    <row r="3" spans="1:13" ht="37.5" customHeight="1">
      <c r="A3" s="992" t="s">
        <v>490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479"/>
    </row>
    <row r="4" spans="1:13" ht="15.75" customHeight="1">
      <c r="A4" s="816"/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479"/>
    </row>
    <row r="5" spans="1:13" ht="37.5" customHeight="1">
      <c r="A5" s="990" t="s">
        <v>0</v>
      </c>
      <c r="B5" s="990" t="s">
        <v>436</v>
      </c>
      <c r="C5" s="990" t="s">
        <v>184</v>
      </c>
      <c r="D5" s="990" t="s">
        <v>323</v>
      </c>
      <c r="E5" s="987" t="s">
        <v>329</v>
      </c>
      <c r="F5" s="989" t="s">
        <v>477</v>
      </c>
      <c r="G5" s="989"/>
      <c r="H5" s="989"/>
      <c r="I5" s="989"/>
      <c r="J5" s="989"/>
      <c r="K5" s="961" t="s">
        <v>478</v>
      </c>
      <c r="L5" s="961" t="s">
        <v>479</v>
      </c>
      <c r="M5" s="479"/>
    </row>
    <row r="6" spans="1:13" s="448" customFormat="1" ht="69.75" customHeight="1">
      <c r="A6" s="990"/>
      <c r="B6" s="990"/>
      <c r="C6" s="990"/>
      <c r="D6" s="990"/>
      <c r="E6" s="987"/>
      <c r="F6" s="447" t="s">
        <v>701</v>
      </c>
      <c r="G6" s="447" t="s">
        <v>702</v>
      </c>
      <c r="H6" s="447" t="s">
        <v>703</v>
      </c>
      <c r="I6" s="447" t="s">
        <v>704</v>
      </c>
      <c r="J6" s="447" t="s">
        <v>705</v>
      </c>
      <c r="K6" s="961"/>
      <c r="L6" s="961"/>
      <c r="M6" s="482"/>
    </row>
    <row r="7" spans="1:23" s="451" customFormat="1" ht="37.5" customHeight="1" hidden="1">
      <c r="A7" s="449" t="s">
        <v>101</v>
      </c>
      <c r="B7" s="925" t="s">
        <v>341</v>
      </c>
      <c r="C7" s="450" t="s">
        <v>437</v>
      </c>
      <c r="D7" s="926">
        <f aca="true" t="shared" si="0" ref="D7:K7">SUM(D8:D12)</f>
        <v>1.6857000000000002</v>
      </c>
      <c r="E7" s="926">
        <f t="shared" si="0"/>
        <v>3.0078277139999994</v>
      </c>
      <c r="F7" s="926">
        <f t="shared" si="0"/>
        <v>0.66108504</v>
      </c>
      <c r="G7" s="926">
        <f t="shared" si="0"/>
        <v>0.7776180584100001</v>
      </c>
      <c r="H7" s="926">
        <f t="shared" si="0"/>
        <v>0.8971843500000001</v>
      </c>
      <c r="I7" s="926">
        <f t="shared" si="0"/>
        <v>0.836811903375</v>
      </c>
      <c r="J7" s="926">
        <f t="shared" si="0"/>
        <v>0.981854808</v>
      </c>
      <c r="K7" s="926">
        <f t="shared" si="0"/>
        <v>4.154554159785</v>
      </c>
      <c r="L7" s="855" t="s">
        <v>36</v>
      </c>
      <c r="M7" s="481"/>
      <c r="V7" s="452"/>
      <c r="W7" s="452"/>
    </row>
    <row r="8" spans="1:23" ht="33" hidden="1">
      <c r="A8" s="453">
        <v>1</v>
      </c>
      <c r="B8" s="378" t="s">
        <v>502</v>
      </c>
      <c r="C8" s="450" t="s">
        <v>437</v>
      </c>
      <c r="D8" s="582">
        <v>0.7220782720000001</v>
      </c>
      <c r="E8" s="582">
        <v>1.03624325</v>
      </c>
      <c r="F8" s="582">
        <v>0.1795</v>
      </c>
      <c r="G8" s="582">
        <v>0.191</v>
      </c>
      <c r="H8" s="582">
        <v>0.23</v>
      </c>
      <c r="I8" s="582">
        <v>0.223158</v>
      </c>
      <c r="J8" s="582">
        <v>0.29040988</v>
      </c>
      <c r="K8" s="582">
        <f>SUM(F8:J8)</f>
        <v>1.11406788</v>
      </c>
      <c r="L8" s="856" t="s">
        <v>36</v>
      </c>
      <c r="M8" s="927"/>
      <c r="N8" s="928"/>
      <c r="V8" s="929"/>
      <c r="W8" s="929"/>
    </row>
    <row r="9" spans="1:23" ht="33" hidden="1">
      <c r="A9" s="453">
        <v>2</v>
      </c>
      <c r="B9" s="378" t="s">
        <v>503</v>
      </c>
      <c r="C9" s="450" t="s">
        <v>437</v>
      </c>
      <c r="D9" s="930">
        <v>0.021142026</v>
      </c>
      <c r="E9" s="582">
        <v>0.030356749999999988</v>
      </c>
      <c r="F9" s="582"/>
      <c r="G9" s="582">
        <v>0.001</v>
      </c>
      <c r="H9" s="582">
        <v>0.0006</v>
      </c>
      <c r="I9" s="582">
        <v>0.0075</v>
      </c>
      <c r="J9" s="582">
        <v>0.0087999</v>
      </c>
      <c r="K9" s="582">
        <f>SUM(F9:J9)</f>
        <v>0.0178999</v>
      </c>
      <c r="L9" s="856" t="s">
        <v>42</v>
      </c>
      <c r="M9" s="931"/>
      <c r="V9" s="929"/>
      <c r="W9" s="929"/>
    </row>
    <row r="10" spans="1:23" ht="33" hidden="1">
      <c r="A10" s="453">
        <v>3</v>
      </c>
      <c r="B10" s="378" t="s">
        <v>504</v>
      </c>
      <c r="C10" s="450" t="s">
        <v>437</v>
      </c>
      <c r="D10" s="582"/>
      <c r="E10" s="582"/>
      <c r="F10" s="582"/>
      <c r="G10" s="582"/>
      <c r="H10" s="582"/>
      <c r="I10" s="582"/>
      <c r="J10" s="582"/>
      <c r="K10" s="582"/>
      <c r="L10" s="856"/>
      <c r="M10" s="931"/>
      <c r="V10" s="929"/>
      <c r="W10" s="929"/>
    </row>
    <row r="11" spans="1:23" ht="33" hidden="1">
      <c r="A11" s="453">
        <v>4</v>
      </c>
      <c r="B11" s="378" t="s">
        <v>505</v>
      </c>
      <c r="C11" s="450" t="s">
        <v>437</v>
      </c>
      <c r="D11" s="582">
        <f>'BM1-CTTH'!D39/1000-D8-D9-D12</f>
        <v>0.8492169999999999</v>
      </c>
      <c r="E11" s="582">
        <f>'BM1-CTTH'!E39/1000-E8-E9-E12</f>
        <v>1.8078277139999994</v>
      </c>
      <c r="F11" s="582">
        <f>'BM1-CTTH'!F39/1000-F8-F9-F12</f>
        <v>0.48158504</v>
      </c>
      <c r="G11" s="582">
        <f>'BM1-CTTH'!G39/1000-G8-G9-G12</f>
        <v>0.58561805841</v>
      </c>
      <c r="H11" s="582">
        <f>'BM1-CTTH'!H39/1000-H8-H9-H12</f>
        <v>0.66658435</v>
      </c>
      <c r="I11" s="582">
        <f>'BM1-CTTH'!I39/1000-I8-I9-I12</f>
        <v>0.573753903375</v>
      </c>
      <c r="J11" s="582">
        <f>'BM1-CTTH'!J39/1000-J8-J9-J12</f>
        <v>0.661445128</v>
      </c>
      <c r="K11" s="582">
        <f>SUM(F11:J11)</f>
        <v>2.9689864797850003</v>
      </c>
      <c r="L11" s="856" t="s">
        <v>36</v>
      </c>
      <c r="M11" s="931"/>
      <c r="V11" s="929"/>
      <c r="W11" s="929"/>
    </row>
    <row r="12" spans="1:23" ht="33" hidden="1">
      <c r="A12" s="453">
        <v>5</v>
      </c>
      <c r="B12" s="378" t="s">
        <v>506</v>
      </c>
      <c r="C12" s="450" t="s">
        <v>437</v>
      </c>
      <c r="D12" s="930">
        <v>0.093262702</v>
      </c>
      <c r="E12" s="582">
        <v>0.1334</v>
      </c>
      <c r="F12" s="582"/>
      <c r="G12" s="582"/>
      <c r="H12" s="582"/>
      <c r="I12" s="582">
        <v>0.0324</v>
      </c>
      <c r="J12" s="582">
        <v>0.0211999</v>
      </c>
      <c r="K12" s="582">
        <f>SUM(F12:J12)</f>
        <v>0.0535999</v>
      </c>
      <c r="L12" s="856" t="s">
        <v>42</v>
      </c>
      <c r="M12" s="931"/>
      <c r="V12" s="929"/>
      <c r="W12" s="929"/>
    </row>
    <row r="13" spans="1:23" s="451" customFormat="1" ht="16.5" hidden="1">
      <c r="A13" s="453"/>
      <c r="B13" s="378" t="s">
        <v>522</v>
      </c>
      <c r="C13" s="450"/>
      <c r="D13" s="505"/>
      <c r="E13" s="505"/>
      <c r="F13" s="505"/>
      <c r="G13" s="505"/>
      <c r="H13" s="505"/>
      <c r="I13" s="505"/>
      <c r="J13" s="505"/>
      <c r="K13" s="505"/>
      <c r="L13" s="505"/>
      <c r="M13" s="481"/>
      <c r="V13" s="452"/>
      <c r="W13" s="452"/>
    </row>
    <row r="14" spans="1:23" s="451" customFormat="1" ht="16.5" hidden="1">
      <c r="A14" s="453"/>
      <c r="B14" s="378" t="s">
        <v>523</v>
      </c>
      <c r="C14" s="450"/>
      <c r="D14" s="505"/>
      <c r="E14" s="505"/>
      <c r="F14" s="505"/>
      <c r="G14" s="505"/>
      <c r="H14" s="505"/>
      <c r="I14" s="505"/>
      <c r="J14" s="505"/>
      <c r="K14" s="505"/>
      <c r="L14" s="505"/>
      <c r="M14" s="481"/>
      <c r="V14" s="452"/>
      <c r="W14" s="452"/>
    </row>
    <row r="15" spans="1:23" s="451" customFormat="1" ht="16.5">
      <c r="A15" s="453"/>
      <c r="B15" s="378" t="s">
        <v>524</v>
      </c>
      <c r="C15" s="450"/>
      <c r="D15" s="505"/>
      <c r="E15" s="505"/>
      <c r="F15" s="505"/>
      <c r="G15" s="505"/>
      <c r="H15" s="505"/>
      <c r="I15" s="505"/>
      <c r="J15" s="505"/>
      <c r="K15" s="505"/>
      <c r="L15" s="505"/>
      <c r="M15" s="481"/>
      <c r="V15" s="452"/>
      <c r="W15" s="452"/>
    </row>
    <row r="16" spans="1:23" s="451" customFormat="1" ht="16.5">
      <c r="A16" s="453"/>
      <c r="B16" s="378" t="s">
        <v>525</v>
      </c>
      <c r="C16" s="450"/>
      <c r="D16" s="505"/>
      <c r="E16" s="505"/>
      <c r="F16" s="505"/>
      <c r="G16" s="505"/>
      <c r="H16" s="505"/>
      <c r="I16" s="505"/>
      <c r="J16" s="505"/>
      <c r="K16" s="505"/>
      <c r="L16" s="505"/>
      <c r="M16" s="481"/>
      <c r="V16" s="452"/>
      <c r="W16" s="452"/>
    </row>
    <row r="17" spans="1:23" s="451" customFormat="1" ht="33">
      <c r="A17" s="453">
        <v>6</v>
      </c>
      <c r="B17" s="378" t="s">
        <v>507</v>
      </c>
      <c r="C17" s="450" t="s">
        <v>437</v>
      </c>
      <c r="D17" s="505"/>
      <c r="E17" s="505"/>
      <c r="F17" s="505"/>
      <c r="G17" s="505"/>
      <c r="H17" s="505"/>
      <c r="I17" s="505"/>
      <c r="J17" s="505"/>
      <c r="K17" s="505"/>
      <c r="L17" s="505"/>
      <c r="M17" s="481"/>
      <c r="V17" s="452"/>
      <c r="W17" s="452"/>
    </row>
    <row r="18" spans="1:13" s="940" customFormat="1" ht="18.75" customHeight="1">
      <c r="A18" s="932" t="s">
        <v>102</v>
      </c>
      <c r="B18" s="933" t="s">
        <v>493</v>
      </c>
      <c r="C18" s="934"/>
      <c r="D18" s="935">
        <f>2383.283/1000</f>
        <v>2.383283</v>
      </c>
      <c r="E18" s="935">
        <v>3.973</v>
      </c>
      <c r="F18" s="936">
        <v>0.57595</v>
      </c>
      <c r="G18" s="936">
        <v>0.70818</v>
      </c>
      <c r="H18" s="936">
        <v>0.7709</v>
      </c>
      <c r="I18" s="936">
        <v>0.84113</v>
      </c>
      <c r="J18" s="936">
        <v>1.02484</v>
      </c>
      <c r="K18" s="937">
        <f>SUM(F18:J18)</f>
        <v>3.9210000000000003</v>
      </c>
      <c r="L18" s="938"/>
      <c r="M18" s="939"/>
    </row>
    <row r="19" spans="1:13" s="940" customFormat="1" ht="18.75" customHeight="1">
      <c r="A19" s="932"/>
      <c r="B19" s="941" t="s">
        <v>214</v>
      </c>
      <c r="C19" s="934"/>
      <c r="D19" s="935"/>
      <c r="E19" s="935"/>
      <c r="F19" s="936"/>
      <c r="G19" s="936"/>
      <c r="H19" s="936"/>
      <c r="I19" s="936"/>
      <c r="J19" s="936"/>
      <c r="K19" s="937"/>
      <c r="L19" s="938"/>
      <c r="M19" s="939"/>
    </row>
    <row r="20" spans="1:12" s="948" customFormat="1" ht="18.75" customHeight="1">
      <c r="A20" s="942">
        <v>1</v>
      </c>
      <c r="B20" s="943" t="s">
        <v>494</v>
      </c>
      <c r="C20" s="944" t="s">
        <v>491</v>
      </c>
      <c r="D20" s="945">
        <v>0.087</v>
      </c>
      <c r="E20" s="946">
        <v>0.186</v>
      </c>
      <c r="F20" s="947">
        <v>0.03477</v>
      </c>
      <c r="G20" s="947">
        <v>0.05103</v>
      </c>
      <c r="H20" s="947">
        <v>0.06151</v>
      </c>
      <c r="I20" s="947">
        <v>0.04264</v>
      </c>
      <c r="J20" s="947">
        <v>0.05795</v>
      </c>
      <c r="K20" s="947">
        <f>SUM(F20:J20)</f>
        <v>0.2479</v>
      </c>
      <c r="L20" s="853"/>
    </row>
    <row r="21" spans="1:12" s="948" customFormat="1" ht="18.75" customHeight="1">
      <c r="A21" s="942">
        <v>2</v>
      </c>
      <c r="B21" s="943" t="s">
        <v>438</v>
      </c>
      <c r="C21" s="944" t="s">
        <v>491</v>
      </c>
      <c r="D21" s="949"/>
      <c r="E21" s="950"/>
      <c r="F21" s="947"/>
      <c r="G21" s="947"/>
      <c r="H21" s="947"/>
      <c r="I21" s="951"/>
      <c r="J21" s="947"/>
      <c r="K21" s="947"/>
      <c r="L21" s="853"/>
    </row>
    <row r="22" spans="1:12" s="948" customFormat="1" ht="28.5" customHeight="1">
      <c r="A22" s="944">
        <v>3</v>
      </c>
      <c r="B22" s="943" t="s">
        <v>495</v>
      </c>
      <c r="C22" s="944" t="s">
        <v>491</v>
      </c>
      <c r="D22" s="949"/>
      <c r="E22" s="950"/>
      <c r="F22" s="947"/>
      <c r="G22" s="947"/>
      <c r="H22" s="947"/>
      <c r="I22" s="951"/>
      <c r="J22" s="947"/>
      <c r="K22" s="947"/>
      <c r="L22" s="853"/>
    </row>
    <row r="23" spans="1:12" s="948" customFormat="1" ht="18.75" customHeight="1">
      <c r="A23" s="942">
        <v>4</v>
      </c>
      <c r="B23" s="943" t="s">
        <v>496</v>
      </c>
      <c r="C23" s="944" t="s">
        <v>491</v>
      </c>
      <c r="D23" s="949"/>
      <c r="E23" s="950"/>
      <c r="F23" s="947"/>
      <c r="G23" s="947"/>
      <c r="H23" s="947"/>
      <c r="I23" s="951"/>
      <c r="J23" s="947"/>
      <c r="K23" s="947"/>
      <c r="L23" s="853"/>
    </row>
    <row r="24" spans="1:12" s="948" customFormat="1" ht="18.75" customHeight="1">
      <c r="A24" s="942">
        <v>5</v>
      </c>
      <c r="B24" s="943" t="s">
        <v>508</v>
      </c>
      <c r="C24" s="944" t="s">
        <v>491</v>
      </c>
      <c r="D24" s="952">
        <f>2164.278/1000</f>
        <v>2.164278</v>
      </c>
      <c r="E24" s="953">
        <v>3.787</v>
      </c>
      <c r="F24" s="947">
        <v>0.51819</v>
      </c>
      <c r="G24" s="947">
        <v>0.62507</v>
      </c>
      <c r="H24" s="947">
        <v>0.66136</v>
      </c>
      <c r="I24" s="954">
        <v>0.74942</v>
      </c>
      <c r="J24" s="947">
        <v>0.8535</v>
      </c>
      <c r="K24" s="947">
        <f>SUM(F24:J24)</f>
        <v>3.40754</v>
      </c>
      <c r="L24" s="853"/>
    </row>
    <row r="25" spans="1:12" s="940" customFormat="1" ht="18.75" customHeight="1">
      <c r="A25" s="955" t="s">
        <v>115</v>
      </c>
      <c r="B25" s="933" t="s">
        <v>497</v>
      </c>
      <c r="C25" s="955" t="s">
        <v>491</v>
      </c>
      <c r="D25" s="935">
        <v>2.351</v>
      </c>
      <c r="E25" s="935">
        <v>3.973</v>
      </c>
      <c r="F25" s="936">
        <v>0.57551</v>
      </c>
      <c r="G25" s="936">
        <v>0.70805</v>
      </c>
      <c r="H25" s="936">
        <v>0.77048</v>
      </c>
      <c r="I25" s="936">
        <v>0.84096</v>
      </c>
      <c r="J25" s="936">
        <v>1.02484</v>
      </c>
      <c r="K25" s="937">
        <f>SUM(F25:J25)</f>
        <v>3.9198399999999998</v>
      </c>
      <c r="L25" s="854"/>
    </row>
    <row r="26" spans="1:12" s="948" customFormat="1" ht="18.75" customHeight="1">
      <c r="A26" s="942"/>
      <c r="B26" s="941" t="s">
        <v>214</v>
      </c>
      <c r="C26" s="944" t="s">
        <v>491</v>
      </c>
      <c r="D26" s="949"/>
      <c r="E26" s="950"/>
      <c r="F26" s="946"/>
      <c r="G26" s="946"/>
      <c r="H26" s="946"/>
      <c r="I26" s="949"/>
      <c r="J26" s="946"/>
      <c r="K26" s="946"/>
      <c r="L26" s="853"/>
    </row>
    <row r="27" spans="1:12" s="948" customFormat="1" ht="18.75" customHeight="1">
      <c r="A27" s="956">
        <v>1</v>
      </c>
      <c r="B27" s="957" t="s">
        <v>440</v>
      </c>
      <c r="C27" s="958" t="s">
        <v>491</v>
      </c>
      <c r="D27" s="952">
        <v>0.319</v>
      </c>
      <c r="E27" s="952">
        <v>0.341</v>
      </c>
      <c r="F27" s="954">
        <f>63.066/1000</f>
        <v>0.063066</v>
      </c>
      <c r="G27" s="954">
        <f>63.702/1000</f>
        <v>0.063702</v>
      </c>
      <c r="H27" s="954">
        <f>90.565/1000</f>
        <v>0.09056499999999999</v>
      </c>
      <c r="I27" s="954">
        <f>67.865/1000</f>
        <v>0.067865</v>
      </c>
      <c r="J27" s="954">
        <f>155.92/1000</f>
        <v>0.15591999999999998</v>
      </c>
      <c r="K27" s="947">
        <f>SUM(F27:J27)</f>
        <v>0.441118</v>
      </c>
      <c r="L27" s="853"/>
    </row>
    <row r="28" spans="1:12" s="948" customFormat="1" ht="18.75" customHeight="1">
      <c r="A28" s="956">
        <v>2</v>
      </c>
      <c r="B28" s="957" t="s">
        <v>439</v>
      </c>
      <c r="C28" s="958" t="s">
        <v>491</v>
      </c>
      <c r="D28" s="952">
        <f>D25-D27</f>
        <v>2.032</v>
      </c>
      <c r="E28" s="952">
        <f>E25-E27</f>
        <v>3.6319999999999997</v>
      </c>
      <c r="F28" s="954">
        <v>0.47674</v>
      </c>
      <c r="G28" s="954">
        <v>0.58371</v>
      </c>
      <c r="H28" s="954">
        <v>0.62022</v>
      </c>
      <c r="I28" s="954">
        <v>0.65882</v>
      </c>
      <c r="J28" s="954">
        <v>0.83384</v>
      </c>
      <c r="K28" s="947">
        <f>SUM(F28:J28)</f>
        <v>3.1733299999999995</v>
      </c>
      <c r="L28" s="853"/>
    </row>
    <row r="29" spans="1:12" s="948" customFormat="1" ht="18.75" customHeight="1">
      <c r="A29" s="956">
        <v>3</v>
      </c>
      <c r="B29" s="957" t="s">
        <v>441</v>
      </c>
      <c r="C29" s="958"/>
      <c r="D29" s="453"/>
      <c r="E29" s="959"/>
      <c r="F29" s="853"/>
      <c r="G29" s="853"/>
      <c r="H29" s="853"/>
      <c r="I29" s="453"/>
      <c r="J29" s="853"/>
      <c r="K29" s="853"/>
      <c r="L29" s="853"/>
    </row>
    <row r="30" spans="1:12" s="948" customFormat="1" ht="36.75" customHeight="1">
      <c r="A30" s="956">
        <v>4</v>
      </c>
      <c r="B30" s="913" t="s">
        <v>706</v>
      </c>
      <c r="C30" s="958"/>
      <c r="D30" s="453"/>
      <c r="E30" s="959"/>
      <c r="F30" s="947">
        <v>0.035704000000000014</v>
      </c>
      <c r="G30" s="947">
        <v>0.06063799999999997</v>
      </c>
      <c r="H30" s="947">
        <v>0.059695000000000054</v>
      </c>
      <c r="I30" s="947">
        <v>0.11427500000000013</v>
      </c>
      <c r="J30" s="947">
        <v>0.03508</v>
      </c>
      <c r="K30" s="947">
        <v>0.305392</v>
      </c>
      <c r="L30" s="853"/>
    </row>
    <row r="31" spans="1:13" s="451" customFormat="1" ht="33">
      <c r="A31" s="449" t="s">
        <v>116</v>
      </c>
      <c r="B31" s="373" t="s">
        <v>498</v>
      </c>
      <c r="C31" s="526" t="s">
        <v>491</v>
      </c>
      <c r="D31" s="449"/>
      <c r="E31" s="855"/>
      <c r="F31" s="854"/>
      <c r="G31" s="854"/>
      <c r="H31" s="854"/>
      <c r="I31" s="449"/>
      <c r="J31" s="854"/>
      <c r="K31" s="854"/>
      <c r="L31" s="854"/>
      <c r="M31" s="496"/>
    </row>
    <row r="32" spans="1:13" ht="33">
      <c r="A32" s="622">
        <v>1</v>
      </c>
      <c r="B32" s="376" t="s">
        <v>499</v>
      </c>
      <c r="C32" s="526" t="s">
        <v>491</v>
      </c>
      <c r="D32" s="453"/>
      <c r="E32" s="856"/>
      <c r="F32" s="853"/>
      <c r="G32" s="853"/>
      <c r="H32" s="853"/>
      <c r="I32" s="453"/>
      <c r="J32" s="853"/>
      <c r="K32" s="853"/>
      <c r="L32" s="853"/>
      <c r="M32" s="455"/>
    </row>
    <row r="33" spans="1:13" ht="33">
      <c r="A33" s="622">
        <v>2</v>
      </c>
      <c r="B33" s="376" t="s">
        <v>500</v>
      </c>
      <c r="C33" s="526" t="s">
        <v>491</v>
      </c>
      <c r="D33" s="453"/>
      <c r="E33" s="856"/>
      <c r="F33" s="853"/>
      <c r="G33" s="853"/>
      <c r="H33" s="853"/>
      <c r="I33" s="453"/>
      <c r="J33" s="853"/>
      <c r="K33" s="853"/>
      <c r="L33" s="853"/>
      <c r="M33" s="455"/>
    </row>
    <row r="34" spans="1:13" ht="16.5">
      <c r="A34" s="624" t="s">
        <v>501</v>
      </c>
      <c r="B34" s="373" t="s">
        <v>343</v>
      </c>
      <c r="C34" s="450"/>
      <c r="D34" s="453"/>
      <c r="E34" s="856"/>
      <c r="F34" s="853"/>
      <c r="G34" s="853"/>
      <c r="H34" s="853"/>
      <c r="I34" s="453"/>
      <c r="J34" s="853"/>
      <c r="K34" s="853"/>
      <c r="L34" s="853"/>
      <c r="M34" s="455"/>
    </row>
    <row r="35" spans="1:13" ht="16.5">
      <c r="A35" s="454"/>
      <c r="B35" s="456"/>
      <c r="C35" s="468"/>
      <c r="D35" s="454"/>
      <c r="E35" s="494"/>
      <c r="F35" s="455"/>
      <c r="G35" s="455"/>
      <c r="H35" s="455"/>
      <c r="I35" s="454"/>
      <c r="J35" s="455"/>
      <c r="K35" s="455"/>
      <c r="L35" s="455"/>
      <c r="M35" s="455"/>
    </row>
    <row r="36" spans="1:13" ht="16.5" customHeight="1">
      <c r="A36" s="454"/>
      <c r="B36" s="456"/>
      <c r="C36" s="468"/>
      <c r="D36" s="454"/>
      <c r="E36" s="494"/>
      <c r="F36" s="455"/>
      <c r="G36" s="455"/>
      <c r="H36" s="455"/>
      <c r="I36" s="454"/>
      <c r="J36" s="455"/>
      <c r="K36" s="455"/>
      <c r="L36" s="455"/>
      <c r="M36" s="455"/>
    </row>
    <row r="37" spans="1:13" ht="16.5">
      <c r="A37" s="454"/>
      <c r="B37" s="456"/>
      <c r="C37" s="468"/>
      <c r="D37" s="454"/>
      <c r="E37" s="494"/>
      <c r="F37" s="455"/>
      <c r="G37" s="455"/>
      <c r="H37" s="455"/>
      <c r="I37" s="454"/>
      <c r="J37" s="455"/>
      <c r="K37" s="455"/>
      <c r="L37" s="455"/>
      <c r="M37" s="455"/>
    </row>
    <row r="38" spans="1:13" ht="16.5" customHeight="1">
      <c r="A38" s="454"/>
      <c r="B38" s="456"/>
      <c r="C38" s="468"/>
      <c r="D38" s="454"/>
      <c r="E38" s="494"/>
      <c r="F38" s="455"/>
      <c r="G38" s="455"/>
      <c r="H38" s="455"/>
      <c r="I38" s="454"/>
      <c r="J38" s="455"/>
      <c r="K38" s="455"/>
      <c r="L38" s="455"/>
      <c r="M38" s="455"/>
    </row>
    <row r="39" spans="1:13" ht="16.5">
      <c r="A39" s="454"/>
      <c r="B39" s="456"/>
      <c r="C39" s="468"/>
      <c r="D39" s="454"/>
      <c r="E39" s="494"/>
      <c r="F39" s="455"/>
      <c r="G39" s="455"/>
      <c r="H39" s="455"/>
      <c r="I39" s="454"/>
      <c r="J39" s="455"/>
      <c r="K39" s="455"/>
      <c r="L39" s="455"/>
      <c r="M39" s="455"/>
    </row>
    <row r="40" spans="1:13" ht="16.5" customHeight="1">
      <c r="A40" s="454"/>
      <c r="B40" s="456"/>
      <c r="C40" s="468"/>
      <c r="D40" s="454"/>
      <c r="E40" s="494"/>
      <c r="F40" s="455"/>
      <c r="G40" s="455"/>
      <c r="H40" s="455"/>
      <c r="I40" s="454"/>
      <c r="J40" s="455"/>
      <c r="K40" s="455"/>
      <c r="L40" s="455"/>
      <c r="M40" s="455"/>
    </row>
    <row r="41" spans="1:13" ht="16.5">
      <c r="A41" s="454"/>
      <c r="B41" s="456"/>
      <c r="C41" s="468"/>
      <c r="D41" s="454"/>
      <c r="E41" s="494"/>
      <c r="F41" s="455"/>
      <c r="G41" s="455"/>
      <c r="H41" s="455"/>
      <c r="I41" s="454"/>
      <c r="J41" s="455"/>
      <c r="K41" s="455"/>
      <c r="L41" s="455"/>
      <c r="M41" s="455"/>
    </row>
    <row r="42" spans="1:13" ht="16.5" customHeight="1">
      <c r="A42" s="454"/>
      <c r="B42" s="456"/>
      <c r="C42" s="468"/>
      <c r="D42" s="454"/>
      <c r="E42" s="494"/>
      <c r="F42" s="455"/>
      <c r="G42" s="455"/>
      <c r="H42" s="455"/>
      <c r="I42" s="454"/>
      <c r="J42" s="455"/>
      <c r="K42" s="455"/>
      <c r="L42" s="455"/>
      <c r="M42" s="455"/>
    </row>
    <row r="43" spans="1:13" ht="16.5">
      <c r="A43" s="454"/>
      <c r="B43" s="456"/>
      <c r="C43" s="468"/>
      <c r="D43" s="454"/>
      <c r="E43" s="494"/>
      <c r="F43" s="455"/>
      <c r="G43" s="455"/>
      <c r="H43" s="455"/>
      <c r="I43" s="454"/>
      <c r="J43" s="455"/>
      <c r="K43" s="455"/>
      <c r="L43" s="455"/>
      <c r="M43" s="455"/>
    </row>
    <row r="44" spans="1:13" ht="16.5" customHeight="1">
      <c r="A44" s="454"/>
      <c r="B44" s="456"/>
      <c r="C44" s="468"/>
      <c r="D44" s="454"/>
      <c r="E44" s="494"/>
      <c r="F44" s="455"/>
      <c r="G44" s="455"/>
      <c r="H44" s="455"/>
      <c r="I44" s="454"/>
      <c r="J44" s="455"/>
      <c r="K44" s="455"/>
      <c r="L44" s="455"/>
      <c r="M44" s="455"/>
    </row>
    <row r="45" spans="1:13" ht="16.5">
      <c r="A45" s="454"/>
      <c r="B45" s="456"/>
      <c r="C45" s="468"/>
      <c r="D45" s="454"/>
      <c r="E45" s="494"/>
      <c r="F45" s="455"/>
      <c r="G45" s="455"/>
      <c r="H45" s="455"/>
      <c r="I45" s="454"/>
      <c r="J45" s="455"/>
      <c r="K45" s="455"/>
      <c r="L45" s="455"/>
      <c r="M45" s="455"/>
    </row>
    <row r="46" spans="1:13" ht="16.5" customHeight="1">
      <c r="A46" s="454"/>
      <c r="B46" s="456"/>
      <c r="C46" s="468"/>
      <c r="D46" s="454"/>
      <c r="E46" s="494"/>
      <c r="F46" s="455"/>
      <c r="G46" s="455"/>
      <c r="H46" s="455"/>
      <c r="I46" s="454"/>
      <c r="J46" s="455"/>
      <c r="K46" s="455"/>
      <c r="L46" s="455"/>
      <c r="M46" s="455"/>
    </row>
    <row r="47" spans="1:13" ht="16.5">
      <c r="A47" s="454"/>
      <c r="B47" s="456"/>
      <c r="C47" s="468"/>
      <c r="D47" s="454"/>
      <c r="E47" s="494"/>
      <c r="F47" s="455"/>
      <c r="G47" s="455"/>
      <c r="H47" s="455"/>
      <c r="I47" s="454"/>
      <c r="J47" s="455"/>
      <c r="K47" s="455"/>
      <c r="L47" s="455"/>
      <c r="M47" s="455"/>
    </row>
    <row r="48" spans="1:13" ht="16.5" customHeight="1">
      <c r="A48" s="454"/>
      <c r="B48" s="456"/>
      <c r="C48" s="468"/>
      <c r="D48" s="454"/>
      <c r="E48" s="494"/>
      <c r="F48" s="455"/>
      <c r="G48" s="455"/>
      <c r="H48" s="455"/>
      <c r="I48" s="454"/>
      <c r="J48" s="455"/>
      <c r="K48" s="455"/>
      <c r="L48" s="455"/>
      <c r="M48" s="455"/>
    </row>
    <row r="49" spans="1:13" ht="16.5">
      <c r="A49" s="454"/>
      <c r="B49" s="456"/>
      <c r="C49" s="468"/>
      <c r="D49" s="454"/>
      <c r="E49" s="494"/>
      <c r="F49" s="455"/>
      <c r="G49" s="455"/>
      <c r="H49" s="455"/>
      <c r="I49" s="454"/>
      <c r="J49" s="455"/>
      <c r="K49" s="455"/>
      <c r="L49" s="455"/>
      <c r="M49" s="455"/>
    </row>
    <row r="50" spans="1:13" ht="16.5" customHeight="1">
      <c r="A50" s="454"/>
      <c r="B50" s="456"/>
      <c r="C50" s="468"/>
      <c r="D50" s="454"/>
      <c r="E50" s="494"/>
      <c r="F50" s="455"/>
      <c r="G50" s="455"/>
      <c r="H50" s="455"/>
      <c r="I50" s="454"/>
      <c r="J50" s="455"/>
      <c r="K50" s="455"/>
      <c r="L50" s="455"/>
      <c r="M50" s="455"/>
    </row>
    <row r="51" spans="1:13" ht="16.5">
      <c r="A51" s="454"/>
      <c r="B51" s="456"/>
      <c r="C51" s="468"/>
      <c r="D51" s="454"/>
      <c r="E51" s="494"/>
      <c r="F51" s="455"/>
      <c r="G51" s="455"/>
      <c r="H51" s="455"/>
      <c r="I51" s="454"/>
      <c r="J51" s="455"/>
      <c r="K51" s="455"/>
      <c r="L51" s="455"/>
      <c r="M51" s="455"/>
    </row>
    <row r="52" spans="1:13" ht="16.5" customHeight="1">
      <c r="A52" s="454"/>
      <c r="B52" s="456"/>
      <c r="C52" s="468"/>
      <c r="D52" s="454"/>
      <c r="E52" s="494"/>
      <c r="F52" s="455"/>
      <c r="G52" s="455"/>
      <c r="H52" s="455"/>
      <c r="I52" s="454"/>
      <c r="J52" s="455"/>
      <c r="K52" s="455"/>
      <c r="L52" s="455"/>
      <c r="M52" s="455"/>
    </row>
    <row r="53" spans="1:13" ht="16.5">
      <c r="A53" s="454"/>
      <c r="B53" s="456"/>
      <c r="C53" s="468"/>
      <c r="D53" s="454"/>
      <c r="E53" s="494"/>
      <c r="F53" s="455"/>
      <c r="G53" s="455"/>
      <c r="H53" s="455"/>
      <c r="I53" s="454"/>
      <c r="J53" s="455"/>
      <c r="K53" s="455"/>
      <c r="L53" s="455"/>
      <c r="M53" s="455"/>
    </row>
    <row r="54" spans="1:13" ht="16.5" customHeight="1">
      <c r="A54" s="454"/>
      <c r="B54" s="456"/>
      <c r="C54" s="468"/>
      <c r="D54" s="454"/>
      <c r="E54" s="494"/>
      <c r="F54" s="455"/>
      <c r="G54" s="455"/>
      <c r="H54" s="455"/>
      <c r="I54" s="454"/>
      <c r="J54" s="455"/>
      <c r="K54" s="455"/>
      <c r="L54" s="455"/>
      <c r="M54" s="455"/>
    </row>
    <row r="55" spans="1:13" ht="16.5">
      <c r="A55" s="454"/>
      <c r="B55" s="456"/>
      <c r="C55" s="468"/>
      <c r="D55" s="454"/>
      <c r="E55" s="494"/>
      <c r="F55" s="455"/>
      <c r="G55" s="455"/>
      <c r="H55" s="455"/>
      <c r="I55" s="454"/>
      <c r="J55" s="455"/>
      <c r="K55" s="455"/>
      <c r="L55" s="455"/>
      <c r="M55" s="455"/>
    </row>
    <row r="56" spans="1:13" ht="16.5" customHeight="1">
      <c r="A56" s="454"/>
      <c r="B56" s="456"/>
      <c r="C56" s="468"/>
      <c r="D56" s="454"/>
      <c r="E56" s="494"/>
      <c r="F56" s="455"/>
      <c r="G56" s="455"/>
      <c r="H56" s="455"/>
      <c r="I56" s="454"/>
      <c r="J56" s="455"/>
      <c r="K56" s="455"/>
      <c r="L56" s="455"/>
      <c r="M56" s="455"/>
    </row>
    <row r="57" spans="1:13" ht="16.5">
      <c r="A57" s="454"/>
      <c r="B57" s="456"/>
      <c r="C57" s="468"/>
      <c r="D57" s="454"/>
      <c r="E57" s="494"/>
      <c r="F57" s="455"/>
      <c r="G57" s="455"/>
      <c r="H57" s="455"/>
      <c r="I57" s="454"/>
      <c r="J57" s="455"/>
      <c r="K57" s="455"/>
      <c r="L57" s="455"/>
      <c r="M57" s="455"/>
    </row>
    <row r="58" spans="1:13" ht="16.5" customHeight="1">
      <c r="A58" s="454"/>
      <c r="B58" s="456"/>
      <c r="C58" s="468"/>
      <c r="D58" s="454"/>
      <c r="E58" s="494"/>
      <c r="F58" s="455"/>
      <c r="G58" s="455"/>
      <c r="H58" s="455"/>
      <c r="I58" s="454"/>
      <c r="J58" s="455"/>
      <c r="K58" s="455"/>
      <c r="L58" s="455"/>
      <c r="M58" s="455"/>
    </row>
    <row r="59" spans="1:13" ht="16.5">
      <c r="A59" s="454"/>
      <c r="B59" s="456"/>
      <c r="C59" s="468"/>
      <c r="D59" s="454"/>
      <c r="E59" s="494"/>
      <c r="F59" s="455"/>
      <c r="G59" s="455"/>
      <c r="H59" s="455"/>
      <c r="I59" s="454"/>
      <c r="J59" s="455"/>
      <c r="K59" s="455"/>
      <c r="L59" s="455"/>
      <c r="M59" s="455"/>
    </row>
    <row r="60" spans="1:13" ht="16.5" customHeight="1">
      <c r="A60" s="454"/>
      <c r="B60" s="456"/>
      <c r="C60" s="468"/>
      <c r="D60" s="454"/>
      <c r="E60" s="494"/>
      <c r="F60" s="455"/>
      <c r="G60" s="455"/>
      <c r="H60" s="455"/>
      <c r="I60" s="454"/>
      <c r="J60" s="455"/>
      <c r="K60" s="455"/>
      <c r="L60" s="455"/>
      <c r="M60" s="455"/>
    </row>
    <row r="61" spans="1:13" ht="16.5">
      <c r="A61" s="454"/>
      <c r="B61" s="456"/>
      <c r="C61" s="468"/>
      <c r="D61" s="454"/>
      <c r="E61" s="494"/>
      <c r="F61" s="455"/>
      <c r="G61" s="455"/>
      <c r="H61" s="455"/>
      <c r="I61" s="454"/>
      <c r="J61" s="455"/>
      <c r="K61" s="455"/>
      <c r="L61" s="455"/>
      <c r="M61" s="455"/>
    </row>
    <row r="62" spans="1:13" ht="16.5" customHeight="1">
      <c r="A62" s="454"/>
      <c r="B62" s="456"/>
      <c r="C62" s="468"/>
      <c r="D62" s="454"/>
      <c r="E62" s="494"/>
      <c r="F62" s="455"/>
      <c r="G62" s="455"/>
      <c r="H62" s="455"/>
      <c r="I62" s="454"/>
      <c r="J62" s="455"/>
      <c r="K62" s="455"/>
      <c r="L62" s="455"/>
      <c r="M62" s="455"/>
    </row>
    <row r="63" spans="1:13" ht="16.5">
      <c r="A63" s="454"/>
      <c r="B63" s="456"/>
      <c r="C63" s="468"/>
      <c r="D63" s="454"/>
      <c r="E63" s="494"/>
      <c r="F63" s="455"/>
      <c r="G63" s="455"/>
      <c r="H63" s="455"/>
      <c r="I63" s="454"/>
      <c r="J63" s="455"/>
      <c r="K63" s="455"/>
      <c r="L63" s="455"/>
      <c r="M63" s="455"/>
    </row>
    <row r="64" spans="1:13" ht="16.5" customHeight="1">
      <c r="A64" s="454"/>
      <c r="B64" s="456"/>
      <c r="C64" s="468"/>
      <c r="D64" s="454"/>
      <c r="E64" s="494"/>
      <c r="F64" s="455"/>
      <c r="G64" s="455"/>
      <c r="H64" s="455"/>
      <c r="I64" s="454"/>
      <c r="J64" s="455"/>
      <c r="K64" s="455"/>
      <c r="L64" s="455"/>
      <c r="M64" s="455"/>
    </row>
    <row r="65" spans="1:13" ht="16.5">
      <c r="A65" s="454"/>
      <c r="B65" s="456"/>
      <c r="C65" s="468"/>
      <c r="D65" s="454"/>
      <c r="E65" s="494"/>
      <c r="F65" s="455"/>
      <c r="G65" s="455"/>
      <c r="H65" s="455"/>
      <c r="I65" s="454"/>
      <c r="J65" s="455"/>
      <c r="K65" s="455"/>
      <c r="L65" s="455"/>
      <c r="M65" s="455"/>
    </row>
    <row r="66" spans="1:13" ht="16.5" customHeight="1">
      <c r="A66" s="454"/>
      <c r="B66" s="456"/>
      <c r="C66" s="468"/>
      <c r="D66" s="454"/>
      <c r="E66" s="494"/>
      <c r="F66" s="455"/>
      <c r="G66" s="455"/>
      <c r="H66" s="455"/>
      <c r="I66" s="454"/>
      <c r="J66" s="455"/>
      <c r="K66" s="455"/>
      <c r="L66" s="455"/>
      <c r="M66" s="455"/>
    </row>
    <row r="67" spans="1:13" ht="16.5">
      <c r="A67" s="454"/>
      <c r="B67" s="456"/>
      <c r="C67" s="468"/>
      <c r="D67" s="454"/>
      <c r="E67" s="494"/>
      <c r="F67" s="455"/>
      <c r="G67" s="455"/>
      <c r="H67" s="455"/>
      <c r="I67" s="454"/>
      <c r="J67" s="455"/>
      <c r="K67" s="455"/>
      <c r="L67" s="455"/>
      <c r="M67" s="455"/>
    </row>
    <row r="68" spans="1:13" ht="16.5" customHeight="1">
      <c r="A68" s="454"/>
      <c r="B68" s="456"/>
      <c r="C68" s="468"/>
      <c r="D68" s="454"/>
      <c r="E68" s="494"/>
      <c r="F68" s="455"/>
      <c r="G68" s="455"/>
      <c r="H68" s="455"/>
      <c r="I68" s="454"/>
      <c r="J68" s="455"/>
      <c r="K68" s="455"/>
      <c r="L68" s="455"/>
      <c r="M68" s="455"/>
    </row>
    <row r="69" spans="1:13" ht="16.5">
      <c r="A69" s="454"/>
      <c r="B69" s="456"/>
      <c r="C69" s="468"/>
      <c r="D69" s="454"/>
      <c r="E69" s="494"/>
      <c r="F69" s="455"/>
      <c r="G69" s="455"/>
      <c r="H69" s="455"/>
      <c r="I69" s="454"/>
      <c r="J69" s="455"/>
      <c r="K69" s="455"/>
      <c r="L69" s="455"/>
      <c r="M69" s="455"/>
    </row>
    <row r="70" spans="1:13" ht="16.5" customHeight="1">
      <c r="A70" s="454"/>
      <c r="B70" s="456"/>
      <c r="C70" s="468"/>
      <c r="D70" s="454"/>
      <c r="E70" s="494"/>
      <c r="F70" s="455"/>
      <c r="G70" s="455"/>
      <c r="H70" s="455"/>
      <c r="I70" s="454"/>
      <c r="J70" s="455"/>
      <c r="K70" s="455"/>
      <c r="L70" s="455"/>
      <c r="M70" s="455"/>
    </row>
    <row r="71" spans="1:13" ht="16.5">
      <c r="A71" s="454"/>
      <c r="B71" s="456"/>
      <c r="C71" s="468"/>
      <c r="D71" s="454"/>
      <c r="E71" s="494"/>
      <c r="F71" s="455"/>
      <c r="G71" s="455"/>
      <c r="H71" s="455"/>
      <c r="I71" s="454"/>
      <c r="J71" s="455"/>
      <c r="K71" s="455"/>
      <c r="L71" s="455"/>
      <c r="M71" s="455"/>
    </row>
    <row r="72" spans="1:13" ht="16.5" customHeight="1">
      <c r="A72" s="454"/>
      <c r="B72" s="456"/>
      <c r="C72" s="468"/>
      <c r="D72" s="454"/>
      <c r="E72" s="494"/>
      <c r="F72" s="455"/>
      <c r="G72" s="455"/>
      <c r="H72" s="455"/>
      <c r="I72" s="454"/>
      <c r="J72" s="455"/>
      <c r="K72" s="455"/>
      <c r="L72" s="455"/>
      <c r="M72" s="455"/>
    </row>
    <row r="73" spans="1:13" ht="16.5">
      <c r="A73" s="454"/>
      <c r="B73" s="456"/>
      <c r="C73" s="468"/>
      <c r="D73" s="454"/>
      <c r="E73" s="494"/>
      <c r="F73" s="455"/>
      <c r="G73" s="455"/>
      <c r="H73" s="455"/>
      <c r="I73" s="454"/>
      <c r="J73" s="455"/>
      <c r="K73" s="455"/>
      <c r="L73" s="455"/>
      <c r="M73" s="455"/>
    </row>
    <row r="74" spans="1:13" ht="16.5" customHeight="1">
      <c r="A74" s="454"/>
      <c r="B74" s="456"/>
      <c r="C74" s="468"/>
      <c r="D74" s="454"/>
      <c r="E74" s="494"/>
      <c r="F74" s="455"/>
      <c r="G74" s="455"/>
      <c r="H74" s="455"/>
      <c r="I74" s="454"/>
      <c r="J74" s="455"/>
      <c r="K74" s="455"/>
      <c r="L74" s="455"/>
      <c r="M74" s="455"/>
    </row>
    <row r="75" spans="1:13" ht="16.5">
      <c r="A75" s="454"/>
      <c r="B75" s="456"/>
      <c r="C75" s="468"/>
      <c r="D75" s="454"/>
      <c r="E75" s="494"/>
      <c r="F75" s="455"/>
      <c r="G75" s="455"/>
      <c r="H75" s="455"/>
      <c r="I75" s="454"/>
      <c r="J75" s="455"/>
      <c r="K75" s="455"/>
      <c r="L75" s="455"/>
      <c r="M75" s="455"/>
    </row>
    <row r="76" spans="1:13" ht="16.5" customHeight="1">
      <c r="A76" s="454"/>
      <c r="B76" s="456"/>
      <c r="C76" s="468"/>
      <c r="D76" s="454"/>
      <c r="E76" s="494"/>
      <c r="F76" s="455"/>
      <c r="G76" s="455"/>
      <c r="H76" s="455"/>
      <c r="I76" s="454"/>
      <c r="J76" s="455"/>
      <c r="K76" s="455"/>
      <c r="L76" s="455"/>
      <c r="M76" s="455"/>
    </row>
    <row r="77" spans="1:13" ht="16.5">
      <c r="A77" s="454"/>
      <c r="B77" s="456"/>
      <c r="C77" s="468"/>
      <c r="D77" s="454"/>
      <c r="E77" s="494"/>
      <c r="F77" s="455"/>
      <c r="G77" s="455"/>
      <c r="H77" s="455"/>
      <c r="I77" s="454"/>
      <c r="J77" s="455"/>
      <c r="K77" s="455"/>
      <c r="L77" s="455"/>
      <c r="M77" s="455"/>
    </row>
    <row r="78" spans="1:13" ht="16.5" customHeight="1">
      <c r="A78" s="454"/>
      <c r="B78" s="456"/>
      <c r="C78" s="468"/>
      <c r="D78" s="454"/>
      <c r="E78" s="494"/>
      <c r="F78" s="455"/>
      <c r="G78" s="455"/>
      <c r="H78" s="455"/>
      <c r="I78" s="454"/>
      <c r="J78" s="455"/>
      <c r="K78" s="455"/>
      <c r="L78" s="455"/>
      <c r="M78" s="455"/>
    </row>
    <row r="79" spans="1:13" ht="16.5">
      <c r="A79" s="454"/>
      <c r="B79" s="456"/>
      <c r="C79" s="468"/>
      <c r="D79" s="454"/>
      <c r="E79" s="494"/>
      <c r="F79" s="455"/>
      <c r="G79" s="455"/>
      <c r="H79" s="455"/>
      <c r="I79" s="454"/>
      <c r="J79" s="455"/>
      <c r="K79" s="455"/>
      <c r="L79" s="455"/>
      <c r="M79" s="455"/>
    </row>
    <row r="80" spans="1:13" ht="16.5" customHeight="1">
      <c r="A80" s="454"/>
      <c r="B80" s="456"/>
      <c r="C80" s="468"/>
      <c r="D80" s="454"/>
      <c r="E80" s="494"/>
      <c r="F80" s="455"/>
      <c r="G80" s="455"/>
      <c r="H80" s="455"/>
      <c r="I80" s="454"/>
      <c r="J80" s="455"/>
      <c r="K80" s="455"/>
      <c r="L80" s="455"/>
      <c r="M80" s="455"/>
    </row>
    <row r="81" spans="1:13" ht="16.5">
      <c r="A81" s="454"/>
      <c r="B81" s="456"/>
      <c r="C81" s="468"/>
      <c r="D81" s="454"/>
      <c r="E81" s="494"/>
      <c r="F81" s="455"/>
      <c r="G81" s="455"/>
      <c r="H81" s="455"/>
      <c r="I81" s="454"/>
      <c r="J81" s="455"/>
      <c r="K81" s="455"/>
      <c r="L81" s="455"/>
      <c r="M81" s="455"/>
    </row>
    <row r="82" spans="1:13" ht="16.5" customHeight="1">
      <c r="A82" s="454"/>
      <c r="B82" s="456"/>
      <c r="C82" s="468"/>
      <c r="D82" s="454"/>
      <c r="E82" s="494"/>
      <c r="F82" s="455"/>
      <c r="G82" s="455"/>
      <c r="H82" s="455"/>
      <c r="I82" s="454"/>
      <c r="J82" s="455"/>
      <c r="K82" s="455"/>
      <c r="L82" s="455"/>
      <c r="M82" s="455"/>
    </row>
    <row r="83" spans="1:13" ht="16.5">
      <c r="A83" s="454"/>
      <c r="B83" s="456"/>
      <c r="C83" s="468"/>
      <c r="D83" s="454"/>
      <c r="E83" s="494"/>
      <c r="F83" s="455"/>
      <c r="G83" s="455"/>
      <c r="H83" s="455"/>
      <c r="I83" s="454"/>
      <c r="J83" s="455"/>
      <c r="K83" s="455"/>
      <c r="L83" s="455"/>
      <c r="M83" s="455"/>
    </row>
    <row r="84" spans="1:13" ht="16.5" customHeight="1">
      <c r="A84" s="454"/>
      <c r="B84" s="456"/>
      <c r="C84" s="468"/>
      <c r="D84" s="454"/>
      <c r="E84" s="494"/>
      <c r="F84" s="455"/>
      <c r="G84" s="455"/>
      <c r="H84" s="455"/>
      <c r="I84" s="454"/>
      <c r="J84" s="455"/>
      <c r="K84" s="455"/>
      <c r="L84" s="455"/>
      <c r="M84" s="455"/>
    </row>
    <row r="85" spans="1:13" ht="16.5">
      <c r="A85" s="454"/>
      <c r="B85" s="456"/>
      <c r="C85" s="468"/>
      <c r="D85" s="454"/>
      <c r="E85" s="494"/>
      <c r="F85" s="455"/>
      <c r="G85" s="455"/>
      <c r="H85" s="455"/>
      <c r="I85" s="454"/>
      <c r="J85" s="455"/>
      <c r="K85" s="455"/>
      <c r="L85" s="455"/>
      <c r="M85" s="455"/>
    </row>
    <row r="86" spans="1:13" ht="16.5" customHeight="1">
      <c r="A86" s="454"/>
      <c r="B86" s="456"/>
      <c r="C86" s="468"/>
      <c r="D86" s="454"/>
      <c r="E86" s="494"/>
      <c r="F86" s="455"/>
      <c r="G86" s="455"/>
      <c r="H86" s="455"/>
      <c r="I86" s="454"/>
      <c r="J86" s="455"/>
      <c r="K86" s="455"/>
      <c r="L86" s="455"/>
      <c r="M86" s="455"/>
    </row>
    <row r="87" spans="1:13" ht="16.5">
      <c r="A87" s="454"/>
      <c r="B87" s="456"/>
      <c r="C87" s="468"/>
      <c r="D87" s="454"/>
      <c r="E87" s="494"/>
      <c r="F87" s="455"/>
      <c r="G87" s="455"/>
      <c r="H87" s="455"/>
      <c r="I87" s="454"/>
      <c r="J87" s="455"/>
      <c r="K87" s="455"/>
      <c r="L87" s="455"/>
      <c r="M87" s="455"/>
    </row>
    <row r="88" spans="1:13" ht="16.5" customHeight="1">
      <c r="A88" s="454"/>
      <c r="B88" s="456"/>
      <c r="C88" s="468"/>
      <c r="D88" s="454"/>
      <c r="E88" s="494"/>
      <c r="F88" s="455"/>
      <c r="G88" s="455"/>
      <c r="H88" s="455"/>
      <c r="I88" s="454"/>
      <c r="J88" s="455"/>
      <c r="K88" s="455"/>
      <c r="L88" s="455"/>
      <c r="M88" s="455"/>
    </row>
    <row r="89" spans="1:13" ht="16.5">
      <c r="A89" s="454"/>
      <c r="B89" s="456"/>
      <c r="C89" s="468"/>
      <c r="D89" s="454"/>
      <c r="E89" s="494"/>
      <c r="F89" s="455"/>
      <c r="G89" s="455"/>
      <c r="H89" s="455"/>
      <c r="I89" s="454"/>
      <c r="J89" s="455"/>
      <c r="K89" s="455"/>
      <c r="L89" s="455"/>
      <c r="M89" s="455"/>
    </row>
    <row r="90" spans="1:13" ht="16.5" customHeight="1">
      <c r="A90" s="454"/>
      <c r="B90" s="456"/>
      <c r="C90" s="468"/>
      <c r="D90" s="454"/>
      <c r="E90" s="494"/>
      <c r="F90" s="455"/>
      <c r="G90" s="455"/>
      <c r="H90" s="455"/>
      <c r="I90" s="454"/>
      <c r="J90" s="455"/>
      <c r="K90" s="455"/>
      <c r="L90" s="455"/>
      <c r="M90" s="455"/>
    </row>
    <row r="91" spans="1:13" ht="16.5">
      <c r="A91" s="454"/>
      <c r="B91" s="456"/>
      <c r="C91" s="468"/>
      <c r="D91" s="454"/>
      <c r="E91" s="494"/>
      <c r="F91" s="455"/>
      <c r="G91" s="455"/>
      <c r="H91" s="455"/>
      <c r="I91" s="454"/>
      <c r="J91" s="455"/>
      <c r="K91" s="455"/>
      <c r="L91" s="455"/>
      <c r="M91" s="455"/>
    </row>
    <row r="92" spans="1:13" ht="16.5" customHeight="1">
      <c r="A92" s="454"/>
      <c r="B92" s="456"/>
      <c r="C92" s="468"/>
      <c r="D92" s="454"/>
      <c r="E92" s="494"/>
      <c r="F92" s="455"/>
      <c r="G92" s="455"/>
      <c r="H92" s="455"/>
      <c r="I92" s="454"/>
      <c r="J92" s="455"/>
      <c r="K92" s="455"/>
      <c r="L92" s="455"/>
      <c r="M92" s="455"/>
    </row>
    <row r="93" spans="1:13" ht="16.5">
      <c r="A93" s="454"/>
      <c r="B93" s="456"/>
      <c r="C93" s="468"/>
      <c r="D93" s="454"/>
      <c r="E93" s="494"/>
      <c r="F93" s="455"/>
      <c r="G93" s="455"/>
      <c r="H93" s="455"/>
      <c r="I93" s="454"/>
      <c r="J93" s="455"/>
      <c r="K93" s="455"/>
      <c r="L93" s="455"/>
      <c r="M93" s="455"/>
    </row>
    <row r="94" spans="1:13" ht="16.5" customHeight="1">
      <c r="A94" s="454"/>
      <c r="B94" s="456"/>
      <c r="C94" s="468"/>
      <c r="D94" s="454"/>
      <c r="E94" s="494"/>
      <c r="F94" s="455"/>
      <c r="G94" s="455"/>
      <c r="H94" s="455"/>
      <c r="I94" s="454"/>
      <c r="J94" s="455"/>
      <c r="K94" s="455"/>
      <c r="L94" s="455"/>
      <c r="M94" s="455"/>
    </row>
    <row r="95" spans="1:13" ht="16.5">
      <c r="A95" s="454"/>
      <c r="B95" s="456"/>
      <c r="C95" s="468"/>
      <c r="D95" s="454"/>
      <c r="E95" s="494"/>
      <c r="F95" s="455"/>
      <c r="G95" s="455"/>
      <c r="H95" s="455"/>
      <c r="I95" s="454"/>
      <c r="J95" s="455"/>
      <c r="K95" s="455"/>
      <c r="L95" s="455"/>
      <c r="M95" s="455"/>
    </row>
    <row r="96" spans="1:13" ht="16.5" customHeight="1">
      <c r="A96" s="454"/>
      <c r="B96" s="456"/>
      <c r="C96" s="468"/>
      <c r="D96" s="454"/>
      <c r="E96" s="494"/>
      <c r="F96" s="455"/>
      <c r="G96" s="455"/>
      <c r="H96" s="455"/>
      <c r="I96" s="454"/>
      <c r="J96" s="455"/>
      <c r="K96" s="455"/>
      <c r="L96" s="455"/>
      <c r="M96" s="455"/>
    </row>
    <row r="97" spans="1:13" ht="16.5">
      <c r="A97" s="454"/>
      <c r="B97" s="456"/>
      <c r="C97" s="468"/>
      <c r="D97" s="454"/>
      <c r="E97" s="494"/>
      <c r="F97" s="455"/>
      <c r="G97" s="455"/>
      <c r="H97" s="455"/>
      <c r="I97" s="454"/>
      <c r="J97" s="455"/>
      <c r="K97" s="455"/>
      <c r="L97" s="455"/>
      <c r="M97" s="455"/>
    </row>
    <row r="98" spans="1:13" ht="16.5" customHeight="1">
      <c r="A98" s="454"/>
      <c r="B98" s="456"/>
      <c r="C98" s="468"/>
      <c r="D98" s="454"/>
      <c r="E98" s="494"/>
      <c r="F98" s="455"/>
      <c r="G98" s="455"/>
      <c r="H98" s="455"/>
      <c r="I98" s="454"/>
      <c r="J98" s="455"/>
      <c r="K98" s="455"/>
      <c r="L98" s="455"/>
      <c r="M98" s="455"/>
    </row>
    <row r="99" spans="1:13" ht="16.5">
      <c r="A99" s="454"/>
      <c r="B99" s="456"/>
      <c r="C99" s="468"/>
      <c r="D99" s="454"/>
      <c r="E99" s="494"/>
      <c r="F99" s="455"/>
      <c r="G99" s="455"/>
      <c r="H99" s="455"/>
      <c r="I99" s="454"/>
      <c r="J99" s="455"/>
      <c r="K99" s="455"/>
      <c r="L99" s="455"/>
      <c r="M99" s="455"/>
    </row>
    <row r="100" spans="1:13" ht="16.5" customHeight="1">
      <c r="A100" s="454"/>
      <c r="B100" s="456"/>
      <c r="C100" s="468"/>
      <c r="D100" s="454"/>
      <c r="E100" s="494"/>
      <c r="F100" s="455"/>
      <c r="G100" s="455"/>
      <c r="H100" s="455"/>
      <c r="I100" s="454"/>
      <c r="J100" s="455"/>
      <c r="K100" s="455"/>
      <c r="L100" s="455"/>
      <c r="M100" s="455"/>
    </row>
    <row r="101" spans="1:13" ht="16.5">
      <c r="A101" s="454"/>
      <c r="B101" s="456"/>
      <c r="C101" s="468"/>
      <c r="D101" s="454"/>
      <c r="E101" s="494"/>
      <c r="F101" s="455"/>
      <c r="G101" s="455"/>
      <c r="H101" s="455"/>
      <c r="I101" s="454"/>
      <c r="J101" s="455"/>
      <c r="K101" s="455"/>
      <c r="L101" s="455"/>
      <c r="M101" s="455"/>
    </row>
    <row r="102" spans="1:13" ht="16.5" customHeight="1">
      <c r="A102" s="454"/>
      <c r="B102" s="456"/>
      <c r="C102" s="468"/>
      <c r="D102" s="454"/>
      <c r="E102" s="494"/>
      <c r="F102" s="455"/>
      <c r="G102" s="455"/>
      <c r="H102" s="455"/>
      <c r="I102" s="454"/>
      <c r="J102" s="455"/>
      <c r="K102" s="455"/>
      <c r="L102" s="455"/>
      <c r="M102" s="455"/>
    </row>
    <row r="103" spans="1:13" ht="16.5">
      <c r="A103" s="454"/>
      <c r="B103" s="456"/>
      <c r="C103" s="468"/>
      <c r="D103" s="454"/>
      <c r="E103" s="494"/>
      <c r="F103" s="455"/>
      <c r="G103" s="455"/>
      <c r="H103" s="455"/>
      <c r="I103" s="454"/>
      <c r="J103" s="455"/>
      <c r="K103" s="455"/>
      <c r="L103" s="455"/>
      <c r="M103" s="455"/>
    </row>
    <row r="104" spans="1:13" ht="16.5" customHeight="1">
      <c r="A104" s="454"/>
      <c r="B104" s="456"/>
      <c r="C104" s="468"/>
      <c r="D104" s="454"/>
      <c r="E104" s="494"/>
      <c r="F104" s="455"/>
      <c r="G104" s="455"/>
      <c r="H104" s="455"/>
      <c r="I104" s="454"/>
      <c r="J104" s="455"/>
      <c r="K104" s="455"/>
      <c r="L104" s="455"/>
      <c r="M104" s="455"/>
    </row>
    <row r="105" spans="1:13" ht="16.5">
      <c r="A105" s="454"/>
      <c r="B105" s="456"/>
      <c r="C105" s="468"/>
      <c r="D105" s="454"/>
      <c r="E105" s="494"/>
      <c r="F105" s="455"/>
      <c r="G105" s="455"/>
      <c r="H105" s="455"/>
      <c r="I105" s="454"/>
      <c r="J105" s="455"/>
      <c r="K105" s="455"/>
      <c r="L105" s="455"/>
      <c r="M105" s="455"/>
    </row>
    <row r="106" spans="1:13" ht="16.5" customHeight="1">
      <c r="A106" s="454"/>
      <c r="B106" s="456"/>
      <c r="C106" s="468"/>
      <c r="D106" s="454"/>
      <c r="E106" s="494"/>
      <c r="F106" s="455"/>
      <c r="G106" s="455"/>
      <c r="H106" s="455"/>
      <c r="I106" s="454"/>
      <c r="J106" s="455"/>
      <c r="K106" s="455"/>
      <c r="L106" s="455"/>
      <c r="M106" s="455"/>
    </row>
    <row r="107" spans="1:13" ht="16.5">
      <c r="A107" s="454"/>
      <c r="B107" s="456"/>
      <c r="C107" s="468"/>
      <c r="D107" s="454"/>
      <c r="E107" s="494"/>
      <c r="F107" s="455"/>
      <c r="G107" s="455"/>
      <c r="H107" s="455"/>
      <c r="I107" s="454"/>
      <c r="J107" s="455"/>
      <c r="K107" s="455"/>
      <c r="L107" s="455"/>
      <c r="M107" s="455"/>
    </row>
    <row r="108" spans="1:13" ht="16.5" customHeight="1">
      <c r="A108" s="454"/>
      <c r="B108" s="456"/>
      <c r="C108" s="468"/>
      <c r="D108" s="454"/>
      <c r="E108" s="494"/>
      <c r="F108" s="455"/>
      <c r="G108" s="455"/>
      <c r="H108" s="455"/>
      <c r="I108" s="454"/>
      <c r="J108" s="455"/>
      <c r="K108" s="455"/>
      <c r="L108" s="455"/>
      <c r="M108" s="455"/>
    </row>
    <row r="109" spans="1:13" ht="16.5">
      <c r="A109" s="454"/>
      <c r="B109" s="456"/>
      <c r="C109" s="468"/>
      <c r="D109" s="454"/>
      <c r="E109" s="494"/>
      <c r="F109" s="455"/>
      <c r="G109" s="455"/>
      <c r="H109" s="455"/>
      <c r="I109" s="454"/>
      <c r="J109" s="455"/>
      <c r="K109" s="455"/>
      <c r="L109" s="455"/>
      <c r="M109" s="455"/>
    </row>
    <row r="110" spans="1:13" ht="16.5" customHeight="1">
      <c r="A110" s="454"/>
      <c r="B110" s="456"/>
      <c r="C110" s="468"/>
      <c r="D110" s="454"/>
      <c r="E110" s="494"/>
      <c r="F110" s="455"/>
      <c r="G110" s="455"/>
      <c r="H110" s="455"/>
      <c r="I110" s="454"/>
      <c r="J110" s="455"/>
      <c r="K110" s="455"/>
      <c r="L110" s="455"/>
      <c r="M110" s="455"/>
    </row>
    <row r="111" spans="1:13" ht="16.5">
      <c r="A111" s="454"/>
      <c r="B111" s="456"/>
      <c r="C111" s="468"/>
      <c r="D111" s="454"/>
      <c r="E111" s="494"/>
      <c r="F111" s="455"/>
      <c r="G111" s="455"/>
      <c r="H111" s="455"/>
      <c r="I111" s="454"/>
      <c r="J111" s="455"/>
      <c r="K111" s="455"/>
      <c r="L111" s="455"/>
      <c r="M111" s="455"/>
    </row>
    <row r="112" spans="1:13" ht="16.5" customHeight="1">
      <c r="A112" s="454"/>
      <c r="B112" s="456"/>
      <c r="C112" s="468"/>
      <c r="D112" s="454"/>
      <c r="E112" s="494"/>
      <c r="F112" s="455"/>
      <c r="G112" s="455"/>
      <c r="H112" s="455"/>
      <c r="I112" s="454"/>
      <c r="J112" s="455"/>
      <c r="K112" s="455"/>
      <c r="L112" s="455"/>
      <c r="M112" s="455"/>
    </row>
    <row r="113" spans="1:13" ht="16.5">
      <c r="A113" s="454"/>
      <c r="B113" s="456"/>
      <c r="C113" s="468"/>
      <c r="D113" s="454"/>
      <c r="E113" s="494"/>
      <c r="F113" s="455"/>
      <c r="G113" s="455"/>
      <c r="H113" s="455"/>
      <c r="I113" s="454"/>
      <c r="J113" s="455"/>
      <c r="K113" s="455"/>
      <c r="L113" s="455"/>
      <c r="M113" s="455"/>
    </row>
    <row r="114" spans="1:13" ht="16.5" customHeight="1">
      <c r="A114" s="454"/>
      <c r="B114" s="456"/>
      <c r="C114" s="468"/>
      <c r="D114" s="454"/>
      <c r="E114" s="494"/>
      <c r="F114" s="455"/>
      <c r="G114" s="455"/>
      <c r="H114" s="455"/>
      <c r="I114" s="454"/>
      <c r="J114" s="455"/>
      <c r="K114" s="455"/>
      <c r="L114" s="455"/>
      <c r="M114" s="455"/>
    </row>
    <row r="115" spans="1:13" ht="16.5">
      <c r="A115" s="454"/>
      <c r="B115" s="456"/>
      <c r="C115" s="468"/>
      <c r="D115" s="454"/>
      <c r="E115" s="494"/>
      <c r="F115" s="455"/>
      <c r="G115" s="455"/>
      <c r="H115" s="455"/>
      <c r="I115" s="454"/>
      <c r="J115" s="455"/>
      <c r="K115" s="455"/>
      <c r="L115" s="455"/>
      <c r="M115" s="455"/>
    </row>
    <row r="116" spans="1:13" ht="16.5" customHeight="1">
      <c r="A116" s="454"/>
      <c r="B116" s="456"/>
      <c r="C116" s="468"/>
      <c r="D116" s="454"/>
      <c r="E116" s="494"/>
      <c r="F116" s="455"/>
      <c r="G116" s="455"/>
      <c r="H116" s="455"/>
      <c r="I116" s="454"/>
      <c r="J116" s="455"/>
      <c r="K116" s="455"/>
      <c r="L116" s="455"/>
      <c r="M116" s="455"/>
    </row>
    <row r="117" spans="1:13" ht="16.5">
      <c r="A117" s="454"/>
      <c r="B117" s="456"/>
      <c r="C117" s="468"/>
      <c r="D117" s="454"/>
      <c r="E117" s="494"/>
      <c r="F117" s="455"/>
      <c r="G117" s="455"/>
      <c r="H117" s="455"/>
      <c r="I117" s="454"/>
      <c r="J117" s="455"/>
      <c r="K117" s="455"/>
      <c r="L117" s="455"/>
      <c r="M117" s="455"/>
    </row>
    <row r="118" spans="1:13" ht="16.5" customHeight="1">
      <c r="A118" s="454"/>
      <c r="B118" s="456"/>
      <c r="C118" s="468"/>
      <c r="D118" s="454"/>
      <c r="E118" s="494"/>
      <c r="F118" s="455"/>
      <c r="G118" s="455"/>
      <c r="H118" s="455"/>
      <c r="I118" s="454"/>
      <c r="J118" s="455"/>
      <c r="K118" s="455"/>
      <c r="L118" s="455"/>
      <c r="M118" s="455"/>
    </row>
    <row r="119" spans="1:13" ht="16.5">
      <c r="A119" s="454"/>
      <c r="B119" s="456"/>
      <c r="C119" s="468"/>
      <c r="D119" s="454"/>
      <c r="E119" s="494"/>
      <c r="F119" s="455"/>
      <c r="G119" s="455"/>
      <c r="H119" s="455"/>
      <c r="I119" s="454"/>
      <c r="J119" s="455"/>
      <c r="K119" s="455"/>
      <c r="L119" s="455"/>
      <c r="M119" s="455"/>
    </row>
    <row r="120" spans="1:13" ht="16.5" customHeight="1">
      <c r="A120" s="454"/>
      <c r="B120" s="456"/>
      <c r="C120" s="468"/>
      <c r="D120" s="454"/>
      <c r="E120" s="494"/>
      <c r="F120" s="455"/>
      <c r="G120" s="455"/>
      <c r="H120" s="455"/>
      <c r="I120" s="454"/>
      <c r="J120" s="455"/>
      <c r="K120" s="455"/>
      <c r="L120" s="455"/>
      <c r="M120" s="455"/>
    </row>
    <row r="121" spans="1:13" ht="16.5">
      <c r="A121" s="454"/>
      <c r="B121" s="456"/>
      <c r="C121" s="468"/>
      <c r="D121" s="454"/>
      <c r="E121" s="494"/>
      <c r="F121" s="455"/>
      <c r="G121" s="455"/>
      <c r="H121" s="455"/>
      <c r="I121" s="454"/>
      <c r="J121" s="455"/>
      <c r="K121" s="455"/>
      <c r="L121" s="455"/>
      <c r="M121" s="455"/>
    </row>
    <row r="122" spans="1:13" ht="16.5" customHeight="1">
      <c r="A122" s="454"/>
      <c r="B122" s="456"/>
      <c r="C122" s="468"/>
      <c r="D122" s="454"/>
      <c r="E122" s="494"/>
      <c r="F122" s="455"/>
      <c r="G122" s="455"/>
      <c r="H122" s="455"/>
      <c r="I122" s="454"/>
      <c r="J122" s="455"/>
      <c r="K122" s="455"/>
      <c r="L122" s="455"/>
      <c r="M122" s="455"/>
    </row>
    <row r="123" spans="1:13" ht="16.5">
      <c r="A123" s="454"/>
      <c r="B123" s="456"/>
      <c r="C123" s="468"/>
      <c r="D123" s="454"/>
      <c r="E123" s="494"/>
      <c r="F123" s="455"/>
      <c r="G123" s="455"/>
      <c r="H123" s="455"/>
      <c r="I123" s="454"/>
      <c r="J123" s="455"/>
      <c r="K123" s="455"/>
      <c r="L123" s="455"/>
      <c r="M123" s="455"/>
    </row>
    <row r="124" spans="1:13" ht="16.5" customHeight="1">
      <c r="A124" s="454"/>
      <c r="B124" s="456"/>
      <c r="C124" s="468"/>
      <c r="D124" s="454"/>
      <c r="E124" s="494"/>
      <c r="F124" s="455"/>
      <c r="G124" s="455"/>
      <c r="H124" s="455"/>
      <c r="I124" s="454"/>
      <c r="J124" s="455"/>
      <c r="K124" s="455"/>
      <c r="L124" s="455"/>
      <c r="M124" s="455"/>
    </row>
    <row r="125" spans="1:13" ht="16.5">
      <c r="A125" s="454"/>
      <c r="B125" s="456"/>
      <c r="C125" s="468"/>
      <c r="D125" s="454"/>
      <c r="E125" s="494"/>
      <c r="F125" s="455"/>
      <c r="G125" s="455"/>
      <c r="H125" s="455"/>
      <c r="I125" s="454"/>
      <c r="J125" s="455"/>
      <c r="K125" s="455"/>
      <c r="L125" s="455"/>
      <c r="M125" s="455"/>
    </row>
    <row r="126" spans="1:13" ht="16.5" customHeight="1">
      <c r="A126" s="454"/>
      <c r="B126" s="456"/>
      <c r="C126" s="468"/>
      <c r="D126" s="454"/>
      <c r="E126" s="494"/>
      <c r="F126" s="455"/>
      <c r="G126" s="455"/>
      <c r="H126" s="455"/>
      <c r="I126" s="454"/>
      <c r="J126" s="455"/>
      <c r="K126" s="455"/>
      <c r="L126" s="455"/>
      <c r="M126" s="455"/>
    </row>
    <row r="127" spans="1:13" ht="16.5">
      <c r="A127" s="454"/>
      <c r="B127" s="456"/>
      <c r="C127" s="468"/>
      <c r="D127" s="454"/>
      <c r="E127" s="494"/>
      <c r="F127" s="455"/>
      <c r="G127" s="455"/>
      <c r="H127" s="455"/>
      <c r="I127" s="454"/>
      <c r="J127" s="455"/>
      <c r="K127" s="455"/>
      <c r="L127" s="455"/>
      <c r="M127" s="455"/>
    </row>
    <row r="128" spans="1:13" ht="16.5" customHeight="1">
      <c r="A128" s="454"/>
      <c r="B128" s="456"/>
      <c r="C128" s="468"/>
      <c r="D128" s="454"/>
      <c r="E128" s="494"/>
      <c r="F128" s="455"/>
      <c r="G128" s="455"/>
      <c r="H128" s="455"/>
      <c r="I128" s="454"/>
      <c r="J128" s="455"/>
      <c r="K128" s="455"/>
      <c r="L128" s="455"/>
      <c r="M128" s="455"/>
    </row>
    <row r="129" spans="1:13" ht="16.5">
      <c r="A129" s="454"/>
      <c r="B129" s="456"/>
      <c r="C129" s="468"/>
      <c r="D129" s="454"/>
      <c r="E129" s="494"/>
      <c r="F129" s="455"/>
      <c r="G129" s="455"/>
      <c r="H129" s="455"/>
      <c r="I129" s="454"/>
      <c r="J129" s="455"/>
      <c r="K129" s="455"/>
      <c r="L129" s="455"/>
      <c r="M129" s="455"/>
    </row>
    <row r="130" spans="1:13" ht="16.5" customHeight="1">
      <c r="A130" s="454"/>
      <c r="B130" s="456"/>
      <c r="C130" s="468"/>
      <c r="D130" s="454"/>
      <c r="E130" s="494"/>
      <c r="F130" s="455"/>
      <c r="G130" s="455"/>
      <c r="H130" s="455"/>
      <c r="I130" s="454"/>
      <c r="J130" s="455"/>
      <c r="K130" s="455"/>
      <c r="L130" s="455"/>
      <c r="M130" s="455"/>
    </row>
    <row r="131" spans="1:13" ht="16.5">
      <c r="A131" s="454"/>
      <c r="B131" s="456"/>
      <c r="C131" s="468"/>
      <c r="D131" s="454"/>
      <c r="E131" s="494"/>
      <c r="F131" s="455"/>
      <c r="G131" s="455"/>
      <c r="H131" s="455"/>
      <c r="I131" s="454"/>
      <c r="J131" s="455"/>
      <c r="K131" s="455"/>
      <c r="L131" s="455"/>
      <c r="M131" s="455"/>
    </row>
    <row r="132" spans="1:13" ht="16.5" customHeight="1">
      <c r="A132" s="454"/>
      <c r="B132" s="456"/>
      <c r="C132" s="468"/>
      <c r="D132" s="454"/>
      <c r="E132" s="494"/>
      <c r="F132" s="455"/>
      <c r="G132" s="455"/>
      <c r="H132" s="455"/>
      <c r="I132" s="454"/>
      <c r="J132" s="455"/>
      <c r="K132" s="455"/>
      <c r="L132" s="455"/>
      <c r="M132" s="455"/>
    </row>
    <row r="133" spans="1:13" ht="16.5">
      <c r="A133" s="454"/>
      <c r="B133" s="456"/>
      <c r="C133" s="468"/>
      <c r="D133" s="454"/>
      <c r="E133" s="494"/>
      <c r="F133" s="455"/>
      <c r="G133" s="455"/>
      <c r="H133" s="455"/>
      <c r="I133" s="454"/>
      <c r="J133" s="455"/>
      <c r="K133" s="455"/>
      <c r="L133" s="455"/>
      <c r="M133" s="455"/>
    </row>
    <row r="134" spans="1:13" ht="16.5" customHeight="1">
      <c r="A134" s="454"/>
      <c r="B134" s="456"/>
      <c r="C134" s="468"/>
      <c r="D134" s="454"/>
      <c r="E134" s="494"/>
      <c r="F134" s="455"/>
      <c r="G134" s="455"/>
      <c r="H134" s="455"/>
      <c r="I134" s="454"/>
      <c r="J134" s="455"/>
      <c r="K134" s="455"/>
      <c r="L134" s="455"/>
      <c r="M134" s="455"/>
    </row>
    <row r="135" spans="1:13" ht="16.5">
      <c r="A135" s="454"/>
      <c r="B135" s="456"/>
      <c r="C135" s="468"/>
      <c r="D135" s="454"/>
      <c r="E135" s="494"/>
      <c r="F135" s="455"/>
      <c r="G135" s="455"/>
      <c r="H135" s="455"/>
      <c r="I135" s="454"/>
      <c r="J135" s="455"/>
      <c r="K135" s="455"/>
      <c r="L135" s="455"/>
      <c r="M135" s="455"/>
    </row>
    <row r="136" spans="1:13" ht="16.5" customHeight="1">
      <c r="A136" s="454"/>
      <c r="B136" s="456"/>
      <c r="C136" s="468"/>
      <c r="D136" s="454"/>
      <c r="E136" s="494"/>
      <c r="F136" s="455"/>
      <c r="G136" s="455"/>
      <c r="H136" s="455"/>
      <c r="I136" s="454"/>
      <c r="J136" s="455"/>
      <c r="K136" s="455"/>
      <c r="L136" s="455"/>
      <c r="M136" s="455"/>
    </row>
    <row r="137" spans="1:13" ht="16.5">
      <c r="A137" s="454"/>
      <c r="B137" s="456"/>
      <c r="C137" s="468"/>
      <c r="D137" s="454"/>
      <c r="E137" s="494"/>
      <c r="F137" s="455"/>
      <c r="G137" s="455"/>
      <c r="H137" s="455"/>
      <c r="I137" s="454"/>
      <c r="J137" s="455"/>
      <c r="K137" s="455"/>
      <c r="L137" s="455"/>
      <c r="M137" s="455"/>
    </row>
    <row r="138" spans="1:13" ht="16.5" customHeight="1">
      <c r="A138" s="454"/>
      <c r="B138" s="456"/>
      <c r="C138" s="468"/>
      <c r="D138" s="454"/>
      <c r="E138" s="494"/>
      <c r="F138" s="455"/>
      <c r="G138" s="455"/>
      <c r="H138" s="455"/>
      <c r="I138" s="454"/>
      <c r="J138" s="455"/>
      <c r="K138" s="455"/>
      <c r="L138" s="455"/>
      <c r="M138" s="455"/>
    </row>
    <row r="139" spans="1:13" ht="16.5">
      <c r="A139" s="454"/>
      <c r="B139" s="456"/>
      <c r="C139" s="468"/>
      <c r="D139" s="454"/>
      <c r="E139" s="494"/>
      <c r="F139" s="455"/>
      <c r="G139" s="455"/>
      <c r="H139" s="455"/>
      <c r="I139" s="454"/>
      <c r="J139" s="455"/>
      <c r="K139" s="455"/>
      <c r="L139" s="455"/>
      <c r="M139" s="455"/>
    </row>
    <row r="140" spans="1:13" ht="16.5" customHeight="1">
      <c r="A140" s="454"/>
      <c r="B140" s="456"/>
      <c r="C140" s="468"/>
      <c r="D140" s="454"/>
      <c r="E140" s="494"/>
      <c r="F140" s="455"/>
      <c r="G140" s="455"/>
      <c r="H140" s="455"/>
      <c r="I140" s="454"/>
      <c r="J140" s="455"/>
      <c r="K140" s="455"/>
      <c r="L140" s="455"/>
      <c r="M140" s="455"/>
    </row>
    <row r="141" spans="1:13" ht="16.5">
      <c r="A141" s="454"/>
      <c r="B141" s="456"/>
      <c r="C141" s="468"/>
      <c r="D141" s="454"/>
      <c r="E141" s="494"/>
      <c r="F141" s="455"/>
      <c r="G141" s="455"/>
      <c r="H141" s="455"/>
      <c r="I141" s="454"/>
      <c r="J141" s="455"/>
      <c r="K141" s="455"/>
      <c r="L141" s="455"/>
      <c r="M141" s="455"/>
    </row>
    <row r="142" spans="1:13" ht="16.5" customHeight="1">
      <c r="A142" s="454"/>
      <c r="B142" s="456"/>
      <c r="C142" s="468"/>
      <c r="D142" s="454"/>
      <c r="E142" s="494"/>
      <c r="F142" s="455"/>
      <c r="G142" s="455"/>
      <c r="H142" s="455"/>
      <c r="I142" s="454"/>
      <c r="J142" s="455"/>
      <c r="K142" s="455"/>
      <c r="L142" s="455"/>
      <c r="M142" s="455"/>
    </row>
    <row r="143" spans="1:13" ht="16.5">
      <c r="A143" s="454"/>
      <c r="B143" s="456"/>
      <c r="C143" s="468"/>
      <c r="D143" s="454"/>
      <c r="E143" s="494"/>
      <c r="F143" s="455"/>
      <c r="G143" s="455"/>
      <c r="H143" s="455"/>
      <c r="I143" s="454"/>
      <c r="J143" s="455"/>
      <c r="K143" s="455"/>
      <c r="L143" s="455"/>
      <c r="M143" s="455"/>
    </row>
    <row r="144" spans="1:13" ht="16.5" customHeight="1">
      <c r="A144" s="454"/>
      <c r="B144" s="456"/>
      <c r="C144" s="468"/>
      <c r="D144" s="454"/>
      <c r="E144" s="494"/>
      <c r="F144" s="455"/>
      <c r="G144" s="455"/>
      <c r="H144" s="455"/>
      <c r="I144" s="454"/>
      <c r="J144" s="455"/>
      <c r="K144" s="455"/>
      <c r="L144" s="455"/>
      <c r="M144" s="455"/>
    </row>
    <row r="145" spans="1:13" ht="16.5">
      <c r="A145" s="454"/>
      <c r="B145" s="456"/>
      <c r="C145" s="468"/>
      <c r="D145" s="454"/>
      <c r="E145" s="494"/>
      <c r="F145" s="455"/>
      <c r="G145" s="455"/>
      <c r="H145" s="455"/>
      <c r="I145" s="454"/>
      <c r="J145" s="455"/>
      <c r="K145" s="455"/>
      <c r="L145" s="455"/>
      <c r="M145" s="455"/>
    </row>
    <row r="146" spans="1:13" ht="16.5" customHeight="1">
      <c r="A146" s="454"/>
      <c r="B146" s="456"/>
      <c r="C146" s="468"/>
      <c r="D146" s="454"/>
      <c r="E146" s="494"/>
      <c r="F146" s="455"/>
      <c r="G146" s="455"/>
      <c r="H146" s="455"/>
      <c r="I146" s="454"/>
      <c r="J146" s="455"/>
      <c r="K146" s="455"/>
      <c r="L146" s="455"/>
      <c r="M146" s="455"/>
    </row>
    <row r="147" spans="1:13" ht="16.5">
      <c r="A147" s="454"/>
      <c r="B147" s="456"/>
      <c r="C147" s="468"/>
      <c r="D147" s="454"/>
      <c r="E147" s="494"/>
      <c r="F147" s="455"/>
      <c r="G147" s="455"/>
      <c r="H147" s="455"/>
      <c r="I147" s="454"/>
      <c r="J147" s="455"/>
      <c r="K147" s="455"/>
      <c r="L147" s="455"/>
      <c r="M147" s="455"/>
    </row>
    <row r="148" spans="1:13" ht="16.5" customHeight="1">
      <c r="A148" s="454"/>
      <c r="B148" s="456"/>
      <c r="C148" s="468"/>
      <c r="D148" s="454"/>
      <c r="E148" s="494"/>
      <c r="F148" s="455"/>
      <c r="G148" s="455"/>
      <c r="H148" s="455"/>
      <c r="I148" s="454"/>
      <c r="J148" s="455"/>
      <c r="K148" s="455"/>
      <c r="L148" s="455"/>
      <c r="M148" s="455"/>
    </row>
    <row r="149" spans="1:13" ht="16.5">
      <c r="A149" s="454"/>
      <c r="B149" s="456"/>
      <c r="C149" s="468"/>
      <c r="D149" s="454"/>
      <c r="E149" s="494"/>
      <c r="F149" s="455"/>
      <c r="G149" s="455"/>
      <c r="H149" s="455"/>
      <c r="I149" s="454"/>
      <c r="J149" s="455"/>
      <c r="K149" s="455"/>
      <c r="L149" s="455"/>
      <c r="M149" s="455"/>
    </row>
    <row r="150" spans="1:13" ht="16.5" customHeight="1">
      <c r="A150" s="454"/>
      <c r="B150" s="456"/>
      <c r="C150" s="468"/>
      <c r="D150" s="454"/>
      <c r="E150" s="494"/>
      <c r="F150" s="455"/>
      <c r="G150" s="455"/>
      <c r="H150" s="455"/>
      <c r="I150" s="454"/>
      <c r="J150" s="455"/>
      <c r="K150" s="455"/>
      <c r="L150" s="455"/>
      <c r="M150" s="455"/>
    </row>
    <row r="151" spans="1:13" ht="16.5">
      <c r="A151" s="454"/>
      <c r="B151" s="456"/>
      <c r="C151" s="468"/>
      <c r="D151" s="454"/>
      <c r="E151" s="494"/>
      <c r="F151" s="455"/>
      <c r="G151" s="455"/>
      <c r="H151" s="455"/>
      <c r="I151" s="454"/>
      <c r="J151" s="455"/>
      <c r="K151" s="455"/>
      <c r="L151" s="455"/>
      <c r="M151" s="455"/>
    </row>
    <row r="152" spans="1:13" ht="16.5" customHeight="1">
      <c r="A152" s="454"/>
      <c r="B152" s="456"/>
      <c r="C152" s="468"/>
      <c r="D152" s="454"/>
      <c r="E152" s="494"/>
      <c r="F152" s="455"/>
      <c r="G152" s="455"/>
      <c r="H152" s="455"/>
      <c r="I152" s="454"/>
      <c r="J152" s="455"/>
      <c r="K152" s="455"/>
      <c r="L152" s="455"/>
      <c r="M152" s="455"/>
    </row>
    <row r="153" spans="1:13" ht="16.5">
      <c r="A153" s="454"/>
      <c r="B153" s="456"/>
      <c r="C153" s="468"/>
      <c r="D153" s="454"/>
      <c r="E153" s="494"/>
      <c r="F153" s="455"/>
      <c r="G153" s="455"/>
      <c r="H153" s="455"/>
      <c r="I153" s="454"/>
      <c r="J153" s="455"/>
      <c r="K153" s="455"/>
      <c r="L153" s="455"/>
      <c r="M153" s="455"/>
    </row>
    <row r="154" spans="1:13" ht="16.5" customHeight="1">
      <c r="A154" s="454"/>
      <c r="B154" s="456"/>
      <c r="C154" s="468"/>
      <c r="D154" s="454"/>
      <c r="E154" s="494"/>
      <c r="F154" s="455"/>
      <c r="G154" s="455"/>
      <c r="H154" s="455"/>
      <c r="I154" s="454"/>
      <c r="J154" s="455"/>
      <c r="K154" s="455"/>
      <c r="L154" s="455"/>
      <c r="M154" s="455"/>
    </row>
    <row r="155" spans="1:13" ht="16.5">
      <c r="A155" s="454"/>
      <c r="B155" s="456"/>
      <c r="C155" s="468"/>
      <c r="D155" s="454"/>
      <c r="E155" s="494"/>
      <c r="F155" s="455"/>
      <c r="G155" s="455"/>
      <c r="H155" s="455"/>
      <c r="I155" s="454"/>
      <c r="J155" s="455"/>
      <c r="K155" s="455"/>
      <c r="L155" s="455"/>
      <c r="M155" s="455"/>
    </row>
    <row r="156" spans="1:13" ht="16.5" customHeight="1">
      <c r="A156" s="454"/>
      <c r="B156" s="456"/>
      <c r="C156" s="468"/>
      <c r="D156" s="454"/>
      <c r="E156" s="494"/>
      <c r="F156" s="455"/>
      <c r="G156" s="455"/>
      <c r="H156" s="455"/>
      <c r="I156" s="454"/>
      <c r="J156" s="455"/>
      <c r="K156" s="455"/>
      <c r="L156" s="455"/>
      <c r="M156" s="455"/>
    </row>
    <row r="157" spans="1:13" ht="16.5">
      <c r="A157" s="454"/>
      <c r="B157" s="456"/>
      <c r="C157" s="468"/>
      <c r="D157" s="454"/>
      <c r="E157" s="494"/>
      <c r="F157" s="455"/>
      <c r="G157" s="455"/>
      <c r="H157" s="455"/>
      <c r="I157" s="454"/>
      <c r="J157" s="455"/>
      <c r="K157" s="455"/>
      <c r="L157" s="455"/>
      <c r="M157" s="455"/>
    </row>
    <row r="158" spans="1:13" ht="16.5" customHeight="1">
      <c r="A158" s="454"/>
      <c r="B158" s="456"/>
      <c r="C158" s="468"/>
      <c r="D158" s="454"/>
      <c r="E158" s="494"/>
      <c r="F158" s="455"/>
      <c r="G158" s="455"/>
      <c r="H158" s="455"/>
      <c r="I158" s="454"/>
      <c r="J158" s="455"/>
      <c r="K158" s="455"/>
      <c r="L158" s="455"/>
      <c r="M158" s="455"/>
    </row>
    <row r="159" spans="1:13" ht="16.5">
      <c r="A159" s="454"/>
      <c r="B159" s="456"/>
      <c r="C159" s="468"/>
      <c r="D159" s="454"/>
      <c r="E159" s="494"/>
      <c r="F159" s="455"/>
      <c r="G159" s="455"/>
      <c r="H159" s="455"/>
      <c r="I159" s="454"/>
      <c r="J159" s="455"/>
      <c r="K159" s="455"/>
      <c r="L159" s="455"/>
      <c r="M159" s="455"/>
    </row>
    <row r="160" spans="1:13" ht="16.5" customHeight="1">
      <c r="A160" s="454"/>
      <c r="B160" s="456"/>
      <c r="C160" s="468"/>
      <c r="D160" s="454"/>
      <c r="E160" s="494"/>
      <c r="F160" s="455"/>
      <c r="G160" s="455"/>
      <c r="H160" s="455"/>
      <c r="I160" s="454"/>
      <c r="J160" s="455"/>
      <c r="K160" s="455"/>
      <c r="L160" s="455"/>
      <c r="M160" s="455"/>
    </row>
    <row r="161" spans="1:13" ht="16.5">
      <c r="A161" s="454"/>
      <c r="B161" s="456"/>
      <c r="C161" s="468"/>
      <c r="D161" s="454"/>
      <c r="E161" s="494"/>
      <c r="F161" s="455"/>
      <c r="G161" s="455"/>
      <c r="H161" s="455"/>
      <c r="I161" s="454"/>
      <c r="J161" s="455"/>
      <c r="K161" s="455"/>
      <c r="L161" s="455"/>
      <c r="M161" s="455"/>
    </row>
    <row r="162" spans="1:13" ht="16.5" customHeight="1">
      <c r="A162" s="454"/>
      <c r="B162" s="456"/>
      <c r="C162" s="468"/>
      <c r="D162" s="454"/>
      <c r="E162" s="494"/>
      <c r="F162" s="455"/>
      <c r="G162" s="455"/>
      <c r="H162" s="455"/>
      <c r="I162" s="454"/>
      <c r="J162" s="455"/>
      <c r="K162" s="455"/>
      <c r="L162" s="455"/>
      <c r="M162" s="455"/>
    </row>
    <row r="163" spans="1:13" ht="16.5">
      <c r="A163" s="454"/>
      <c r="B163" s="456"/>
      <c r="C163" s="468"/>
      <c r="D163" s="454"/>
      <c r="E163" s="494"/>
      <c r="F163" s="455"/>
      <c r="G163" s="455"/>
      <c r="H163" s="455"/>
      <c r="I163" s="454"/>
      <c r="J163" s="455"/>
      <c r="K163" s="455"/>
      <c r="L163" s="455"/>
      <c r="M163" s="455"/>
    </row>
    <row r="164" spans="1:13" ht="16.5" customHeight="1">
      <c r="A164" s="454"/>
      <c r="B164" s="456"/>
      <c r="C164" s="468"/>
      <c r="D164" s="454"/>
      <c r="E164" s="494"/>
      <c r="F164" s="455"/>
      <c r="G164" s="455"/>
      <c r="H164" s="455"/>
      <c r="I164" s="454"/>
      <c r="J164" s="455"/>
      <c r="K164" s="455"/>
      <c r="L164" s="455"/>
      <c r="M164" s="455"/>
    </row>
    <row r="165" spans="1:13" ht="16.5">
      <c r="A165" s="454"/>
      <c r="B165" s="456"/>
      <c r="C165" s="468"/>
      <c r="D165" s="454"/>
      <c r="E165" s="494"/>
      <c r="F165" s="455"/>
      <c r="G165" s="455"/>
      <c r="H165" s="455"/>
      <c r="I165" s="454"/>
      <c r="J165" s="455"/>
      <c r="K165" s="455"/>
      <c r="L165" s="455"/>
      <c r="M165" s="455"/>
    </row>
    <row r="166" spans="1:13" ht="16.5" customHeight="1">
      <c r="A166" s="454"/>
      <c r="B166" s="456"/>
      <c r="C166" s="468"/>
      <c r="D166" s="454"/>
      <c r="E166" s="494"/>
      <c r="F166" s="455"/>
      <c r="G166" s="455"/>
      <c r="H166" s="455"/>
      <c r="I166" s="454"/>
      <c r="J166" s="455"/>
      <c r="K166" s="455"/>
      <c r="L166" s="455"/>
      <c r="M166" s="455"/>
    </row>
    <row r="167" spans="1:13" ht="16.5">
      <c r="A167" s="454"/>
      <c r="B167" s="456"/>
      <c r="C167" s="468"/>
      <c r="D167" s="454"/>
      <c r="E167" s="494"/>
      <c r="F167" s="455"/>
      <c r="G167" s="455"/>
      <c r="H167" s="455"/>
      <c r="I167" s="454"/>
      <c r="J167" s="455"/>
      <c r="K167" s="455"/>
      <c r="L167" s="455"/>
      <c r="M167" s="455"/>
    </row>
    <row r="168" spans="1:13" ht="16.5" customHeight="1">
      <c r="A168" s="454"/>
      <c r="B168" s="456"/>
      <c r="C168" s="468"/>
      <c r="D168" s="454"/>
      <c r="E168" s="494"/>
      <c r="F168" s="455"/>
      <c r="G168" s="455"/>
      <c r="H168" s="455"/>
      <c r="I168" s="454"/>
      <c r="J168" s="455"/>
      <c r="K168" s="455"/>
      <c r="L168" s="455"/>
      <c r="M168" s="455"/>
    </row>
    <row r="169" spans="1:13" ht="16.5">
      <c r="A169" s="454"/>
      <c r="B169" s="456"/>
      <c r="C169" s="468"/>
      <c r="D169" s="454"/>
      <c r="E169" s="494"/>
      <c r="F169" s="455"/>
      <c r="G169" s="455"/>
      <c r="H169" s="455"/>
      <c r="I169" s="454"/>
      <c r="J169" s="455"/>
      <c r="K169" s="455"/>
      <c r="L169" s="455"/>
      <c r="M169" s="455"/>
    </row>
    <row r="170" spans="1:13" ht="16.5" customHeight="1">
      <c r="A170" s="454"/>
      <c r="B170" s="456"/>
      <c r="C170" s="468"/>
      <c r="D170" s="454"/>
      <c r="E170" s="494"/>
      <c r="F170" s="455"/>
      <c r="G170" s="455"/>
      <c r="H170" s="455"/>
      <c r="I170" s="454"/>
      <c r="J170" s="455"/>
      <c r="K170" s="455"/>
      <c r="L170" s="455"/>
      <c r="M170" s="455"/>
    </row>
    <row r="171" spans="1:13" ht="16.5">
      <c r="A171" s="454"/>
      <c r="B171" s="456"/>
      <c r="C171" s="468"/>
      <c r="D171" s="454"/>
      <c r="E171" s="494"/>
      <c r="F171" s="455"/>
      <c r="G171" s="455"/>
      <c r="H171" s="455"/>
      <c r="I171" s="454"/>
      <c r="J171" s="455"/>
      <c r="K171" s="455"/>
      <c r="L171" s="455"/>
      <c r="M171" s="455"/>
    </row>
    <row r="172" spans="1:13" ht="16.5" customHeight="1">
      <c r="A172" s="454"/>
      <c r="B172" s="456"/>
      <c r="C172" s="468"/>
      <c r="D172" s="454"/>
      <c r="E172" s="494"/>
      <c r="F172" s="455"/>
      <c r="G172" s="455"/>
      <c r="H172" s="455"/>
      <c r="I172" s="454"/>
      <c r="J172" s="455"/>
      <c r="K172" s="455"/>
      <c r="L172" s="455"/>
      <c r="M172" s="455"/>
    </row>
    <row r="173" spans="1:13" ht="16.5">
      <c r="A173" s="454"/>
      <c r="B173" s="456"/>
      <c r="C173" s="468"/>
      <c r="D173" s="454"/>
      <c r="E173" s="494"/>
      <c r="F173" s="455"/>
      <c r="G173" s="455"/>
      <c r="H173" s="455"/>
      <c r="I173" s="454"/>
      <c r="J173" s="455"/>
      <c r="K173" s="455"/>
      <c r="L173" s="455"/>
      <c r="M173" s="455"/>
    </row>
    <row r="174" spans="1:13" ht="16.5" customHeight="1">
      <c r="A174" s="454"/>
      <c r="B174" s="456"/>
      <c r="C174" s="468"/>
      <c r="D174" s="454"/>
      <c r="E174" s="494"/>
      <c r="F174" s="455"/>
      <c r="G174" s="455"/>
      <c r="H174" s="455"/>
      <c r="I174" s="454"/>
      <c r="J174" s="455"/>
      <c r="K174" s="455"/>
      <c r="L174" s="455"/>
      <c r="M174" s="455"/>
    </row>
    <row r="175" spans="1:13" ht="16.5">
      <c r="A175" s="454"/>
      <c r="B175" s="456"/>
      <c r="C175" s="468"/>
      <c r="D175" s="454"/>
      <c r="E175" s="494"/>
      <c r="F175" s="455"/>
      <c r="G175" s="455"/>
      <c r="H175" s="455"/>
      <c r="I175" s="454"/>
      <c r="J175" s="455"/>
      <c r="K175" s="455"/>
      <c r="L175" s="455"/>
      <c r="M175" s="455"/>
    </row>
    <row r="176" spans="1:13" ht="16.5" customHeight="1">
      <c r="A176" s="454"/>
      <c r="B176" s="456"/>
      <c r="C176" s="468"/>
      <c r="D176" s="454"/>
      <c r="E176" s="494"/>
      <c r="F176" s="455"/>
      <c r="G176" s="455"/>
      <c r="H176" s="455"/>
      <c r="I176" s="454"/>
      <c r="J176" s="455"/>
      <c r="K176" s="455"/>
      <c r="L176" s="455"/>
      <c r="M176" s="455"/>
    </row>
    <row r="177" spans="1:13" ht="16.5">
      <c r="A177" s="454"/>
      <c r="B177" s="456"/>
      <c r="C177" s="468"/>
      <c r="D177" s="454"/>
      <c r="E177" s="494"/>
      <c r="F177" s="455"/>
      <c r="G177" s="455"/>
      <c r="H177" s="455"/>
      <c r="I177" s="454"/>
      <c r="J177" s="455"/>
      <c r="K177" s="455"/>
      <c r="L177" s="455"/>
      <c r="M177" s="455"/>
    </row>
    <row r="178" spans="1:13" ht="16.5" customHeight="1">
      <c r="A178" s="454"/>
      <c r="B178" s="456"/>
      <c r="C178" s="468"/>
      <c r="D178" s="454"/>
      <c r="E178" s="494"/>
      <c r="F178" s="455"/>
      <c r="G178" s="455"/>
      <c r="H178" s="455"/>
      <c r="I178" s="454"/>
      <c r="J178" s="455"/>
      <c r="K178" s="455"/>
      <c r="L178" s="455"/>
      <c r="M178" s="455"/>
    </row>
    <row r="179" spans="1:13" ht="16.5">
      <c r="A179" s="454"/>
      <c r="B179" s="456"/>
      <c r="C179" s="468"/>
      <c r="D179" s="454"/>
      <c r="E179" s="494"/>
      <c r="F179" s="455"/>
      <c r="G179" s="455"/>
      <c r="H179" s="455"/>
      <c r="I179" s="454"/>
      <c r="J179" s="455"/>
      <c r="K179" s="455"/>
      <c r="L179" s="455"/>
      <c r="M179" s="455"/>
    </row>
    <row r="180" spans="1:13" ht="16.5" customHeight="1">
      <c r="A180" s="454"/>
      <c r="B180" s="456"/>
      <c r="C180" s="468"/>
      <c r="D180" s="454"/>
      <c r="E180" s="494"/>
      <c r="F180" s="455"/>
      <c r="G180" s="455"/>
      <c r="H180" s="455"/>
      <c r="I180" s="454"/>
      <c r="J180" s="455"/>
      <c r="K180" s="455"/>
      <c r="L180" s="455"/>
      <c r="M180" s="455"/>
    </row>
    <row r="181" spans="1:13" ht="16.5">
      <c r="A181" s="454"/>
      <c r="B181" s="456"/>
      <c r="C181" s="468"/>
      <c r="D181" s="454"/>
      <c r="E181" s="494"/>
      <c r="F181" s="455"/>
      <c r="G181" s="455"/>
      <c r="H181" s="455"/>
      <c r="I181" s="454"/>
      <c r="J181" s="455"/>
      <c r="K181" s="455"/>
      <c r="L181" s="455"/>
      <c r="M181" s="455"/>
    </row>
    <row r="182" spans="1:13" ht="16.5" customHeight="1">
      <c r="A182" s="454"/>
      <c r="B182" s="456"/>
      <c r="C182" s="468"/>
      <c r="D182" s="454"/>
      <c r="E182" s="494"/>
      <c r="F182" s="455"/>
      <c r="G182" s="455"/>
      <c r="H182" s="455"/>
      <c r="I182" s="454"/>
      <c r="J182" s="455"/>
      <c r="K182" s="455"/>
      <c r="L182" s="455"/>
      <c r="M182" s="455"/>
    </row>
    <row r="183" spans="1:13" ht="16.5">
      <c r="A183" s="454"/>
      <c r="B183" s="456"/>
      <c r="C183" s="468"/>
      <c r="D183" s="454"/>
      <c r="E183" s="494"/>
      <c r="F183" s="455"/>
      <c r="G183" s="455"/>
      <c r="H183" s="455"/>
      <c r="I183" s="454"/>
      <c r="J183" s="455"/>
      <c r="K183" s="455"/>
      <c r="L183" s="455"/>
      <c r="M183" s="455"/>
    </row>
    <row r="184" spans="1:13" ht="16.5" customHeight="1">
      <c r="A184" s="454"/>
      <c r="B184" s="456"/>
      <c r="C184" s="468"/>
      <c r="D184" s="454"/>
      <c r="E184" s="494"/>
      <c r="F184" s="455"/>
      <c r="G184" s="455"/>
      <c r="H184" s="455"/>
      <c r="I184" s="454"/>
      <c r="J184" s="455"/>
      <c r="K184" s="455"/>
      <c r="L184" s="455"/>
      <c r="M184" s="455"/>
    </row>
    <row r="185" spans="1:13" ht="16.5">
      <c r="A185" s="454"/>
      <c r="B185" s="456"/>
      <c r="C185" s="468"/>
      <c r="D185" s="454"/>
      <c r="E185" s="494"/>
      <c r="F185" s="455"/>
      <c r="G185" s="455"/>
      <c r="H185" s="455"/>
      <c r="I185" s="454"/>
      <c r="J185" s="455"/>
      <c r="K185" s="455"/>
      <c r="L185" s="455"/>
      <c r="M185" s="455"/>
    </row>
    <row r="186" spans="1:13" ht="16.5" customHeight="1">
      <c r="A186" s="454"/>
      <c r="B186" s="456"/>
      <c r="C186" s="468"/>
      <c r="D186" s="454"/>
      <c r="E186" s="494"/>
      <c r="F186" s="455"/>
      <c r="G186" s="455"/>
      <c r="H186" s="455"/>
      <c r="I186" s="454"/>
      <c r="J186" s="455"/>
      <c r="K186" s="455"/>
      <c r="L186" s="455"/>
      <c r="M186" s="455"/>
    </row>
    <row r="187" spans="1:13" ht="16.5">
      <c r="A187" s="454"/>
      <c r="B187" s="456"/>
      <c r="C187" s="468"/>
      <c r="D187" s="454"/>
      <c r="E187" s="494"/>
      <c r="F187" s="455"/>
      <c r="G187" s="455"/>
      <c r="H187" s="455"/>
      <c r="I187" s="454"/>
      <c r="J187" s="455"/>
      <c r="K187" s="455"/>
      <c r="L187" s="455"/>
      <c r="M187" s="455"/>
    </row>
    <row r="188" spans="1:13" ht="16.5" customHeight="1">
      <c r="A188" s="454"/>
      <c r="B188" s="456"/>
      <c r="C188" s="468"/>
      <c r="D188" s="454"/>
      <c r="E188" s="494"/>
      <c r="F188" s="455"/>
      <c r="G188" s="455"/>
      <c r="H188" s="455"/>
      <c r="I188" s="454"/>
      <c r="J188" s="455"/>
      <c r="K188" s="455"/>
      <c r="L188" s="455"/>
      <c r="M188" s="455"/>
    </row>
    <row r="189" spans="1:13" ht="16.5">
      <c r="A189" s="454"/>
      <c r="B189" s="456"/>
      <c r="C189" s="468"/>
      <c r="D189" s="454"/>
      <c r="E189" s="494"/>
      <c r="F189" s="455"/>
      <c r="G189" s="455"/>
      <c r="H189" s="455"/>
      <c r="I189" s="454"/>
      <c r="J189" s="455"/>
      <c r="K189" s="455"/>
      <c r="L189" s="455"/>
      <c r="M189" s="455"/>
    </row>
    <row r="190" spans="1:13" ht="16.5" customHeight="1">
      <c r="A190" s="454"/>
      <c r="B190" s="456"/>
      <c r="C190" s="468"/>
      <c r="D190" s="454"/>
      <c r="E190" s="494"/>
      <c r="F190" s="455"/>
      <c r="G190" s="455"/>
      <c r="H190" s="455"/>
      <c r="I190" s="454"/>
      <c r="J190" s="455"/>
      <c r="K190" s="455"/>
      <c r="L190" s="455"/>
      <c r="M190" s="455"/>
    </row>
    <row r="191" spans="1:13" ht="16.5">
      <c r="A191" s="454"/>
      <c r="B191" s="456"/>
      <c r="C191" s="468"/>
      <c r="D191" s="454"/>
      <c r="E191" s="494"/>
      <c r="F191" s="455"/>
      <c r="G191" s="455"/>
      <c r="H191" s="455"/>
      <c r="I191" s="454"/>
      <c r="J191" s="455"/>
      <c r="K191" s="455"/>
      <c r="L191" s="455"/>
      <c r="M191" s="455"/>
    </row>
    <row r="192" spans="1:13" ht="16.5" customHeight="1">
      <c r="A192" s="454"/>
      <c r="B192" s="456"/>
      <c r="C192" s="468"/>
      <c r="D192" s="454"/>
      <c r="E192" s="494"/>
      <c r="F192" s="455"/>
      <c r="G192" s="455"/>
      <c r="H192" s="455"/>
      <c r="I192" s="454"/>
      <c r="J192" s="455"/>
      <c r="K192" s="455"/>
      <c r="L192" s="455"/>
      <c r="M192" s="455"/>
    </row>
    <row r="193" spans="1:13" ht="16.5">
      <c r="A193" s="454"/>
      <c r="B193" s="456"/>
      <c r="C193" s="468"/>
      <c r="D193" s="454"/>
      <c r="E193" s="494"/>
      <c r="F193" s="455"/>
      <c r="G193" s="455"/>
      <c r="H193" s="455"/>
      <c r="I193" s="454"/>
      <c r="J193" s="455"/>
      <c r="K193" s="455"/>
      <c r="L193" s="455"/>
      <c r="M193" s="455"/>
    </row>
    <row r="194" spans="1:13" ht="16.5" customHeight="1">
      <c r="A194" s="454"/>
      <c r="B194" s="456"/>
      <c r="C194" s="468"/>
      <c r="D194" s="454"/>
      <c r="E194" s="494"/>
      <c r="F194" s="455"/>
      <c r="G194" s="455"/>
      <c r="H194" s="455"/>
      <c r="I194" s="454"/>
      <c r="J194" s="455"/>
      <c r="K194" s="455"/>
      <c r="L194" s="455"/>
      <c r="M194" s="455"/>
    </row>
    <row r="195" spans="1:13" ht="16.5">
      <c r="A195" s="454"/>
      <c r="B195" s="456"/>
      <c r="C195" s="468"/>
      <c r="D195" s="454"/>
      <c r="E195" s="494"/>
      <c r="F195" s="455"/>
      <c r="G195" s="455"/>
      <c r="H195" s="455"/>
      <c r="I195" s="454"/>
      <c r="J195" s="455"/>
      <c r="K195" s="455"/>
      <c r="L195" s="455"/>
      <c r="M195" s="455"/>
    </row>
    <row r="196" spans="1:13" ht="16.5" customHeight="1">
      <c r="A196" s="454"/>
      <c r="B196" s="456"/>
      <c r="C196" s="468"/>
      <c r="D196" s="454"/>
      <c r="E196" s="494"/>
      <c r="F196" s="455"/>
      <c r="G196" s="455"/>
      <c r="H196" s="455"/>
      <c r="I196" s="454"/>
      <c r="J196" s="455"/>
      <c r="K196" s="455"/>
      <c r="L196" s="455"/>
      <c r="M196" s="455"/>
    </row>
    <row r="197" spans="1:13" ht="16.5">
      <c r="A197" s="454"/>
      <c r="B197" s="456"/>
      <c r="C197" s="468"/>
      <c r="D197" s="454"/>
      <c r="E197" s="494"/>
      <c r="F197" s="455"/>
      <c r="G197" s="455"/>
      <c r="H197" s="455"/>
      <c r="I197" s="454"/>
      <c r="J197" s="455"/>
      <c r="K197" s="455"/>
      <c r="L197" s="455"/>
      <c r="M197" s="455"/>
    </row>
    <row r="198" spans="1:13" ht="16.5" customHeight="1">
      <c r="A198" s="454"/>
      <c r="B198" s="456"/>
      <c r="C198" s="468"/>
      <c r="D198" s="454"/>
      <c r="E198" s="494"/>
      <c r="F198" s="455"/>
      <c r="G198" s="455"/>
      <c r="H198" s="455"/>
      <c r="I198" s="454"/>
      <c r="J198" s="455"/>
      <c r="K198" s="455"/>
      <c r="L198" s="455"/>
      <c r="M198" s="455"/>
    </row>
    <row r="199" spans="1:13" ht="16.5">
      <c r="A199" s="454"/>
      <c r="B199" s="456"/>
      <c r="C199" s="468"/>
      <c r="D199" s="454"/>
      <c r="E199" s="494"/>
      <c r="F199" s="455"/>
      <c r="G199" s="455"/>
      <c r="H199" s="455"/>
      <c r="I199" s="454"/>
      <c r="J199" s="455"/>
      <c r="K199" s="455"/>
      <c r="L199" s="455"/>
      <c r="M199" s="455"/>
    </row>
    <row r="200" spans="1:13" ht="16.5" customHeight="1">
      <c r="A200" s="454"/>
      <c r="B200" s="456"/>
      <c r="C200" s="468"/>
      <c r="D200" s="454"/>
      <c r="E200" s="494"/>
      <c r="F200" s="455"/>
      <c r="G200" s="455"/>
      <c r="H200" s="455"/>
      <c r="I200" s="454"/>
      <c r="J200" s="455"/>
      <c r="K200" s="455"/>
      <c r="L200" s="455"/>
      <c r="M200" s="455"/>
    </row>
    <row r="201" spans="1:13" ht="16.5">
      <c r="A201" s="454"/>
      <c r="B201" s="456"/>
      <c r="C201" s="468"/>
      <c r="D201" s="454"/>
      <c r="E201" s="494"/>
      <c r="F201" s="455"/>
      <c r="G201" s="455"/>
      <c r="H201" s="455"/>
      <c r="I201" s="454"/>
      <c r="J201" s="455"/>
      <c r="K201" s="455"/>
      <c r="L201" s="455"/>
      <c r="M201" s="455"/>
    </row>
    <row r="202" spans="1:13" ht="16.5" customHeight="1">
      <c r="A202" s="454"/>
      <c r="B202" s="456"/>
      <c r="C202" s="468"/>
      <c r="D202" s="454"/>
      <c r="E202" s="494"/>
      <c r="F202" s="455"/>
      <c r="G202" s="455"/>
      <c r="H202" s="455"/>
      <c r="I202" s="454"/>
      <c r="J202" s="455"/>
      <c r="K202" s="455"/>
      <c r="L202" s="455"/>
      <c r="M202" s="455"/>
    </row>
    <row r="203" spans="1:13" ht="16.5">
      <c r="A203" s="454"/>
      <c r="B203" s="456"/>
      <c r="C203" s="468"/>
      <c r="D203" s="454"/>
      <c r="E203" s="494"/>
      <c r="F203" s="455"/>
      <c r="G203" s="455"/>
      <c r="H203" s="455"/>
      <c r="I203" s="454"/>
      <c r="J203" s="455"/>
      <c r="K203" s="455"/>
      <c r="L203" s="455"/>
      <c r="M203" s="455"/>
    </row>
    <row r="204" spans="1:13" ht="16.5" customHeight="1">
      <c r="A204" s="454"/>
      <c r="B204" s="456"/>
      <c r="C204" s="468"/>
      <c r="D204" s="454"/>
      <c r="E204" s="494"/>
      <c r="F204" s="455"/>
      <c r="G204" s="455"/>
      <c r="H204" s="455"/>
      <c r="I204" s="454"/>
      <c r="J204" s="455"/>
      <c r="K204" s="455"/>
      <c r="L204" s="455"/>
      <c r="M204" s="455"/>
    </row>
    <row r="205" spans="1:13" ht="16.5">
      <c r="A205" s="454"/>
      <c r="B205" s="456"/>
      <c r="C205" s="468"/>
      <c r="D205" s="454"/>
      <c r="E205" s="494"/>
      <c r="F205" s="455"/>
      <c r="G205" s="455"/>
      <c r="H205" s="455"/>
      <c r="I205" s="454"/>
      <c r="J205" s="455"/>
      <c r="K205" s="455"/>
      <c r="L205" s="455"/>
      <c r="M205" s="455"/>
    </row>
    <row r="206" spans="1:13" ht="16.5" customHeight="1">
      <c r="A206" s="454"/>
      <c r="B206" s="456"/>
      <c r="C206" s="468"/>
      <c r="D206" s="454"/>
      <c r="E206" s="494"/>
      <c r="F206" s="455"/>
      <c r="G206" s="455"/>
      <c r="H206" s="455"/>
      <c r="I206" s="454"/>
      <c r="J206" s="455"/>
      <c r="K206" s="455"/>
      <c r="L206" s="455"/>
      <c r="M206" s="455"/>
    </row>
    <row r="207" spans="1:13" ht="16.5">
      <c r="A207" s="454"/>
      <c r="B207" s="456"/>
      <c r="C207" s="468"/>
      <c r="D207" s="454"/>
      <c r="E207" s="494"/>
      <c r="F207" s="455"/>
      <c r="G207" s="455"/>
      <c r="H207" s="455"/>
      <c r="I207" s="454"/>
      <c r="J207" s="455"/>
      <c r="K207" s="455"/>
      <c r="L207" s="455"/>
      <c r="M207" s="455"/>
    </row>
    <row r="208" spans="1:13" ht="16.5" customHeight="1">
      <c r="A208" s="454"/>
      <c r="B208" s="456"/>
      <c r="C208" s="468"/>
      <c r="D208" s="454"/>
      <c r="E208" s="494"/>
      <c r="F208" s="455"/>
      <c r="G208" s="455"/>
      <c r="H208" s="455"/>
      <c r="I208" s="454"/>
      <c r="J208" s="455"/>
      <c r="K208" s="455"/>
      <c r="L208" s="455"/>
      <c r="M208" s="455"/>
    </row>
    <row r="209" spans="1:13" ht="16.5">
      <c r="A209" s="454"/>
      <c r="B209" s="456"/>
      <c r="C209" s="468"/>
      <c r="D209" s="454"/>
      <c r="E209" s="494"/>
      <c r="F209" s="455"/>
      <c r="G209" s="455"/>
      <c r="H209" s="455"/>
      <c r="I209" s="454"/>
      <c r="J209" s="455"/>
      <c r="K209" s="455"/>
      <c r="L209" s="455"/>
      <c r="M209" s="455"/>
    </row>
    <row r="210" spans="1:13" ht="16.5" customHeight="1">
      <c r="A210" s="454"/>
      <c r="B210" s="456"/>
      <c r="C210" s="468"/>
      <c r="D210" s="454"/>
      <c r="E210" s="494"/>
      <c r="F210" s="455"/>
      <c r="G210" s="455"/>
      <c r="H210" s="455"/>
      <c r="I210" s="454"/>
      <c r="J210" s="455"/>
      <c r="K210" s="455"/>
      <c r="L210" s="455"/>
      <c r="M210" s="455"/>
    </row>
    <row r="211" spans="1:13" ht="16.5">
      <c r="A211" s="454"/>
      <c r="B211" s="456"/>
      <c r="C211" s="468"/>
      <c r="D211" s="454"/>
      <c r="E211" s="494"/>
      <c r="F211" s="455"/>
      <c r="G211" s="455"/>
      <c r="H211" s="455"/>
      <c r="I211" s="454"/>
      <c r="J211" s="455"/>
      <c r="K211" s="455"/>
      <c r="L211" s="455"/>
      <c r="M211" s="455"/>
    </row>
    <row r="212" spans="1:13" ht="16.5" customHeight="1">
      <c r="A212" s="454"/>
      <c r="B212" s="456"/>
      <c r="C212" s="468"/>
      <c r="D212" s="454"/>
      <c r="E212" s="494"/>
      <c r="F212" s="455"/>
      <c r="G212" s="455"/>
      <c r="H212" s="455"/>
      <c r="I212" s="454"/>
      <c r="J212" s="455"/>
      <c r="K212" s="455"/>
      <c r="L212" s="455"/>
      <c r="M212" s="455"/>
    </row>
    <row r="213" spans="1:13" ht="16.5">
      <c r="A213" s="454"/>
      <c r="B213" s="456"/>
      <c r="C213" s="468"/>
      <c r="D213" s="454"/>
      <c r="E213" s="494"/>
      <c r="F213" s="455"/>
      <c r="G213" s="455"/>
      <c r="H213" s="455"/>
      <c r="I213" s="454"/>
      <c r="J213" s="455"/>
      <c r="K213" s="455"/>
      <c r="L213" s="455"/>
      <c r="M213" s="455"/>
    </row>
    <row r="214" spans="1:13" ht="16.5" customHeight="1">
      <c r="A214" s="454"/>
      <c r="B214" s="456"/>
      <c r="C214" s="468"/>
      <c r="D214" s="454"/>
      <c r="E214" s="494"/>
      <c r="F214" s="455"/>
      <c r="G214" s="455"/>
      <c r="H214" s="455"/>
      <c r="I214" s="454"/>
      <c r="J214" s="455"/>
      <c r="K214" s="455"/>
      <c r="L214" s="455"/>
      <c r="M214" s="455"/>
    </row>
    <row r="215" spans="1:13" ht="16.5">
      <c r="A215" s="454"/>
      <c r="B215" s="456"/>
      <c r="C215" s="468"/>
      <c r="D215" s="454"/>
      <c r="E215" s="494"/>
      <c r="F215" s="455"/>
      <c r="G215" s="455"/>
      <c r="H215" s="455"/>
      <c r="I215" s="454"/>
      <c r="J215" s="455"/>
      <c r="K215" s="455"/>
      <c r="L215" s="455"/>
      <c r="M215" s="455"/>
    </row>
    <row r="216" spans="1:13" ht="16.5" customHeight="1">
      <c r="A216" s="454"/>
      <c r="B216" s="456"/>
      <c r="C216" s="468"/>
      <c r="D216" s="454"/>
      <c r="E216" s="494"/>
      <c r="F216" s="455"/>
      <c r="G216" s="455"/>
      <c r="H216" s="455"/>
      <c r="I216" s="454"/>
      <c r="J216" s="455"/>
      <c r="K216" s="455"/>
      <c r="L216" s="455"/>
      <c r="M216" s="455"/>
    </row>
    <row r="217" spans="1:13" ht="16.5">
      <c r="A217" s="454"/>
      <c r="B217" s="456"/>
      <c r="C217" s="468"/>
      <c r="D217" s="454"/>
      <c r="E217" s="494"/>
      <c r="F217" s="455"/>
      <c r="G217" s="455"/>
      <c r="H217" s="455"/>
      <c r="I217" s="454"/>
      <c r="J217" s="455"/>
      <c r="K217" s="455"/>
      <c r="L217" s="455"/>
      <c r="M217" s="455"/>
    </row>
    <row r="218" spans="1:13" ht="16.5" customHeight="1">
      <c r="A218" s="454"/>
      <c r="B218" s="456"/>
      <c r="C218" s="468"/>
      <c r="D218" s="454"/>
      <c r="E218" s="494"/>
      <c r="F218" s="455"/>
      <c r="G218" s="455"/>
      <c r="H218" s="455"/>
      <c r="I218" s="454"/>
      <c r="J218" s="455"/>
      <c r="K218" s="455"/>
      <c r="L218" s="455"/>
      <c r="M218" s="455"/>
    </row>
    <row r="219" spans="1:13" ht="16.5">
      <c r="A219" s="454"/>
      <c r="B219" s="456"/>
      <c r="C219" s="468"/>
      <c r="D219" s="454"/>
      <c r="E219" s="494"/>
      <c r="F219" s="455"/>
      <c r="G219" s="455"/>
      <c r="H219" s="455"/>
      <c r="I219" s="454"/>
      <c r="J219" s="455"/>
      <c r="K219" s="455"/>
      <c r="L219" s="455"/>
      <c r="M219" s="455"/>
    </row>
    <row r="220" spans="1:13" ht="16.5" customHeight="1">
      <c r="A220" s="454"/>
      <c r="B220" s="456"/>
      <c r="C220" s="468"/>
      <c r="D220" s="454"/>
      <c r="E220" s="494"/>
      <c r="F220" s="455"/>
      <c r="G220" s="455"/>
      <c r="H220" s="455"/>
      <c r="I220" s="454"/>
      <c r="J220" s="455"/>
      <c r="K220" s="455"/>
      <c r="L220" s="455"/>
      <c r="M220" s="455"/>
    </row>
    <row r="221" spans="1:13" ht="16.5">
      <c r="A221" s="454"/>
      <c r="B221" s="456"/>
      <c r="C221" s="468"/>
      <c r="D221" s="454"/>
      <c r="E221" s="494"/>
      <c r="F221" s="455"/>
      <c r="G221" s="455"/>
      <c r="H221" s="455"/>
      <c r="I221" s="454"/>
      <c r="J221" s="455"/>
      <c r="K221" s="455"/>
      <c r="L221" s="455"/>
      <c r="M221" s="455"/>
    </row>
    <row r="222" spans="1:13" ht="16.5" customHeight="1">
      <c r="A222" s="454"/>
      <c r="B222" s="456"/>
      <c r="C222" s="468"/>
      <c r="D222" s="454"/>
      <c r="E222" s="494"/>
      <c r="F222" s="455"/>
      <c r="G222" s="455"/>
      <c r="H222" s="455"/>
      <c r="I222" s="454"/>
      <c r="J222" s="455"/>
      <c r="K222" s="455"/>
      <c r="L222" s="455"/>
      <c r="M222" s="455"/>
    </row>
    <row r="223" spans="1:13" ht="16.5">
      <c r="A223" s="454"/>
      <c r="B223" s="456"/>
      <c r="C223" s="468"/>
      <c r="D223" s="454"/>
      <c r="E223" s="494"/>
      <c r="F223" s="455"/>
      <c r="G223" s="455"/>
      <c r="H223" s="455"/>
      <c r="I223" s="454"/>
      <c r="J223" s="455"/>
      <c r="K223" s="455"/>
      <c r="L223" s="455"/>
      <c r="M223" s="455"/>
    </row>
    <row r="224" spans="1:13" ht="16.5" customHeight="1">
      <c r="A224" s="454"/>
      <c r="B224" s="456"/>
      <c r="C224" s="468"/>
      <c r="D224" s="454"/>
      <c r="E224" s="494"/>
      <c r="F224" s="455"/>
      <c r="G224" s="455"/>
      <c r="H224" s="455"/>
      <c r="I224" s="454"/>
      <c r="J224" s="455"/>
      <c r="K224" s="455"/>
      <c r="L224" s="455"/>
      <c r="M224" s="455"/>
    </row>
    <row r="225" spans="1:13" ht="16.5">
      <c r="A225" s="454"/>
      <c r="B225" s="456"/>
      <c r="C225" s="468"/>
      <c r="D225" s="454"/>
      <c r="E225" s="494"/>
      <c r="F225" s="455"/>
      <c r="G225" s="455"/>
      <c r="H225" s="455"/>
      <c r="I225" s="454"/>
      <c r="J225" s="455"/>
      <c r="K225" s="455"/>
      <c r="L225" s="455"/>
      <c r="M225" s="455"/>
    </row>
    <row r="226" spans="1:13" ht="16.5" customHeight="1">
      <c r="A226" s="454"/>
      <c r="B226" s="456"/>
      <c r="C226" s="468"/>
      <c r="D226" s="454"/>
      <c r="E226" s="494"/>
      <c r="F226" s="455"/>
      <c r="G226" s="455"/>
      <c r="H226" s="455"/>
      <c r="I226" s="454"/>
      <c r="J226" s="455"/>
      <c r="K226" s="455"/>
      <c r="L226" s="455"/>
      <c r="M226" s="455"/>
    </row>
    <row r="227" spans="1:13" ht="16.5">
      <c r="A227" s="454"/>
      <c r="B227" s="456"/>
      <c r="C227" s="468"/>
      <c r="D227" s="454"/>
      <c r="E227" s="494"/>
      <c r="F227" s="455"/>
      <c r="G227" s="455"/>
      <c r="H227" s="455"/>
      <c r="I227" s="454"/>
      <c r="J227" s="455"/>
      <c r="K227" s="455"/>
      <c r="L227" s="455"/>
      <c r="M227" s="455"/>
    </row>
    <row r="228" spans="1:13" ht="16.5" customHeight="1">
      <c r="A228" s="454"/>
      <c r="B228" s="456"/>
      <c r="C228" s="468"/>
      <c r="D228" s="454"/>
      <c r="E228" s="494"/>
      <c r="F228" s="455"/>
      <c r="G228" s="455"/>
      <c r="H228" s="455"/>
      <c r="I228" s="454"/>
      <c r="J228" s="455"/>
      <c r="K228" s="455"/>
      <c r="L228" s="455"/>
      <c r="M228" s="455"/>
    </row>
    <row r="229" spans="1:13" ht="16.5">
      <c r="A229" s="454"/>
      <c r="B229" s="456"/>
      <c r="C229" s="468"/>
      <c r="D229" s="454"/>
      <c r="E229" s="494"/>
      <c r="F229" s="455"/>
      <c r="G229" s="455"/>
      <c r="H229" s="455"/>
      <c r="I229" s="454"/>
      <c r="J229" s="455"/>
      <c r="K229" s="455"/>
      <c r="L229" s="455"/>
      <c r="M229" s="455"/>
    </row>
    <row r="230" spans="1:13" ht="16.5" customHeight="1">
      <c r="A230" s="454"/>
      <c r="B230" s="456"/>
      <c r="C230" s="468"/>
      <c r="D230" s="454"/>
      <c r="E230" s="494"/>
      <c r="F230" s="455"/>
      <c r="G230" s="455"/>
      <c r="H230" s="455"/>
      <c r="I230" s="454"/>
      <c r="J230" s="455"/>
      <c r="K230" s="455"/>
      <c r="L230" s="455"/>
      <c r="M230" s="455"/>
    </row>
    <row r="231" spans="1:13" ht="16.5">
      <c r="A231" s="454"/>
      <c r="B231" s="456"/>
      <c r="C231" s="468"/>
      <c r="D231" s="454"/>
      <c r="E231" s="494"/>
      <c r="F231" s="455"/>
      <c r="G231" s="455"/>
      <c r="H231" s="455"/>
      <c r="I231" s="454"/>
      <c r="J231" s="455"/>
      <c r="K231" s="455"/>
      <c r="L231" s="455"/>
      <c r="M231" s="455"/>
    </row>
    <row r="232" spans="1:13" ht="16.5" customHeight="1">
      <c r="A232" s="454"/>
      <c r="B232" s="456"/>
      <c r="C232" s="468"/>
      <c r="D232" s="454"/>
      <c r="E232" s="494"/>
      <c r="F232" s="455"/>
      <c r="G232" s="455"/>
      <c r="H232" s="455"/>
      <c r="I232" s="454"/>
      <c r="J232" s="455"/>
      <c r="K232" s="455"/>
      <c r="L232" s="455"/>
      <c r="M232" s="455"/>
    </row>
    <row r="233" spans="1:13" ht="16.5">
      <c r="A233" s="454"/>
      <c r="B233" s="456"/>
      <c r="C233" s="468"/>
      <c r="D233" s="454"/>
      <c r="E233" s="494"/>
      <c r="F233" s="455"/>
      <c r="G233" s="455"/>
      <c r="H233" s="455"/>
      <c r="I233" s="454"/>
      <c r="J233" s="455"/>
      <c r="K233" s="455"/>
      <c r="L233" s="455"/>
      <c r="M233" s="455"/>
    </row>
    <row r="234" spans="1:13" ht="16.5" customHeight="1">
      <c r="A234" s="454"/>
      <c r="B234" s="456"/>
      <c r="C234" s="468"/>
      <c r="D234" s="454"/>
      <c r="E234" s="494"/>
      <c r="F234" s="455"/>
      <c r="G234" s="455"/>
      <c r="H234" s="455"/>
      <c r="I234" s="454"/>
      <c r="J234" s="455"/>
      <c r="K234" s="455"/>
      <c r="L234" s="455"/>
      <c r="M234" s="455"/>
    </row>
    <row r="235" spans="1:13" ht="16.5">
      <c r="A235" s="454"/>
      <c r="B235" s="456"/>
      <c r="C235" s="468"/>
      <c r="D235" s="454"/>
      <c r="E235" s="494"/>
      <c r="F235" s="455"/>
      <c r="G235" s="455"/>
      <c r="H235" s="455"/>
      <c r="I235" s="454"/>
      <c r="J235" s="455"/>
      <c r="K235" s="455"/>
      <c r="L235" s="455"/>
      <c r="M235" s="455"/>
    </row>
    <row r="236" spans="1:13" ht="16.5" customHeight="1">
      <c r="A236" s="454"/>
      <c r="B236" s="456"/>
      <c r="C236" s="468"/>
      <c r="D236" s="454"/>
      <c r="E236" s="494"/>
      <c r="F236" s="455"/>
      <c r="G236" s="455"/>
      <c r="H236" s="455"/>
      <c r="I236" s="454"/>
      <c r="J236" s="455"/>
      <c r="K236" s="455"/>
      <c r="L236" s="455"/>
      <c r="M236" s="455"/>
    </row>
    <row r="237" spans="1:13" ht="16.5">
      <c r="A237" s="454"/>
      <c r="B237" s="456"/>
      <c r="C237" s="468"/>
      <c r="D237" s="454"/>
      <c r="E237" s="494"/>
      <c r="F237" s="455"/>
      <c r="G237" s="455"/>
      <c r="H237" s="455"/>
      <c r="I237" s="454"/>
      <c r="J237" s="455"/>
      <c r="K237" s="455"/>
      <c r="L237" s="455"/>
      <c r="M237" s="455"/>
    </row>
  </sheetData>
  <sheetProtection/>
  <mergeCells count="11">
    <mergeCell ref="A3:L3"/>
    <mergeCell ref="E5:E6"/>
    <mergeCell ref="H1:I1"/>
    <mergeCell ref="F5:J5"/>
    <mergeCell ref="K5:K6"/>
    <mergeCell ref="L5:L6"/>
    <mergeCell ref="A5:A6"/>
    <mergeCell ref="B5:B6"/>
    <mergeCell ref="C5:C6"/>
    <mergeCell ref="D5:D6"/>
    <mergeCell ref="B2:L2"/>
  </mergeCells>
  <printOptions horizontalCentered="1"/>
  <pageMargins left="0.669291338582677" right="0.551181102362205" top="0.748031496062992" bottom="0.708661417322835" header="0.511811023622047" footer="0.354330708661417"/>
  <pageSetup fitToHeight="0" horizontalDpi="600" verticalDpi="600" orientation="landscape" paperSize="9" scale="73" r:id="rId1"/>
  <headerFooter alignWithMargins="0">
    <oddFooter>&amp;R&amp;"Times New Roman,Regular"&amp;12&amp;P/&amp;N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BreakPreview" zoomScaleNormal="70" zoomScaleSheetLayoutView="100" zoomScalePageLayoutView="0" workbookViewId="0" topLeftCell="A16">
      <selection activeCell="I38" sqref="I38"/>
    </sheetView>
  </sheetViews>
  <sheetFormatPr defaultColWidth="9.140625" defaultRowHeight="12.75"/>
  <cols>
    <col min="1" max="1" width="7.28125" style="439" customWidth="1"/>
    <col min="2" max="2" width="38.57421875" style="439" customWidth="1"/>
    <col min="3" max="3" width="15.00390625" style="439" customWidth="1"/>
    <col min="4" max="5" width="17.140625" style="444" customWidth="1"/>
    <col min="6" max="11" width="14.140625" style="439" customWidth="1"/>
    <col min="12" max="12" width="17.7109375" style="536" customWidth="1"/>
    <col min="13" max="13" width="8.421875" style="439" hidden="1" customWidth="1"/>
    <col min="14" max="16384" width="9.140625" style="439" customWidth="1"/>
  </cols>
  <sheetData>
    <row r="1" spans="1:13" s="381" customFormat="1" ht="26.25" customHeight="1">
      <c r="A1" s="432"/>
      <c r="B1" s="432" t="s">
        <v>405</v>
      </c>
      <c r="C1" s="432"/>
      <c r="D1" s="432"/>
      <c r="E1" s="432"/>
      <c r="F1" s="432"/>
      <c r="G1" s="432"/>
      <c r="H1" s="999" t="s">
        <v>332</v>
      </c>
      <c r="I1" s="999"/>
      <c r="J1" s="997" t="s">
        <v>565</v>
      </c>
      <c r="K1" s="997"/>
      <c r="L1" s="997"/>
      <c r="M1" s="432"/>
    </row>
    <row r="2" spans="1:12" ht="24.75" customHeight="1">
      <c r="A2" s="552"/>
      <c r="B2" s="996" t="str">
        <f>'BM7'!B2:L2</f>
        <v>Huyện Tuần Giáo</v>
      </c>
      <c r="C2" s="996"/>
      <c r="D2" s="996"/>
      <c r="E2" s="996"/>
      <c r="F2" s="996"/>
      <c r="G2" s="996"/>
      <c r="H2" s="996"/>
      <c r="I2" s="996"/>
      <c r="J2" s="996"/>
      <c r="K2" s="996"/>
      <c r="L2" s="996"/>
    </row>
    <row r="3" spans="1:12" ht="34.5" customHeight="1">
      <c r="A3" s="993" t="s">
        <v>516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</row>
    <row r="4" spans="1:9" ht="28.5" customHeight="1">
      <c r="A4" s="440"/>
      <c r="B4" s="440"/>
      <c r="C4" s="440"/>
      <c r="D4" s="440"/>
      <c r="E4" s="440"/>
      <c r="F4" s="440"/>
      <c r="G4" s="440"/>
      <c r="H4" s="440"/>
      <c r="I4" s="440"/>
    </row>
    <row r="5" spans="1:12" ht="42" customHeight="1">
      <c r="A5" s="998" t="s">
        <v>0</v>
      </c>
      <c r="B5" s="998" t="s">
        <v>287</v>
      </c>
      <c r="C5" s="998" t="s">
        <v>184</v>
      </c>
      <c r="D5" s="998" t="s">
        <v>323</v>
      </c>
      <c r="E5" s="994" t="s">
        <v>444</v>
      </c>
      <c r="F5" s="985" t="s">
        <v>477</v>
      </c>
      <c r="G5" s="985"/>
      <c r="H5" s="985"/>
      <c r="I5" s="985"/>
      <c r="J5" s="985"/>
      <c r="K5" s="961" t="s">
        <v>478</v>
      </c>
      <c r="L5" s="961" t="s">
        <v>479</v>
      </c>
    </row>
    <row r="6" spans="1:12" ht="42" customHeight="1">
      <c r="A6" s="998"/>
      <c r="B6" s="998"/>
      <c r="C6" s="998"/>
      <c r="D6" s="998"/>
      <c r="E6" s="995"/>
      <c r="F6" s="570" t="s">
        <v>701</v>
      </c>
      <c r="G6" s="570" t="s">
        <v>702</v>
      </c>
      <c r="H6" s="570" t="s">
        <v>703</v>
      </c>
      <c r="I6" s="570" t="s">
        <v>704</v>
      </c>
      <c r="J6" s="570" t="s">
        <v>705</v>
      </c>
      <c r="K6" s="961"/>
      <c r="L6" s="961"/>
    </row>
    <row r="7" spans="1:12" ht="36.75" customHeight="1">
      <c r="A7" s="537" t="s">
        <v>101</v>
      </c>
      <c r="B7" s="489" t="s">
        <v>442</v>
      </c>
      <c r="C7" s="537"/>
      <c r="D7" s="717"/>
      <c r="E7" s="717"/>
      <c r="F7" s="717"/>
      <c r="G7" s="717"/>
      <c r="H7" s="717"/>
      <c r="I7" s="717"/>
      <c r="J7" s="717"/>
      <c r="K7" s="718"/>
      <c r="L7" s="368"/>
    </row>
    <row r="8" spans="1:12" ht="36.75" customHeight="1">
      <c r="A8" s="490">
        <v>1</v>
      </c>
      <c r="B8" s="492" t="s">
        <v>517</v>
      </c>
      <c r="C8" s="571" t="s">
        <v>442</v>
      </c>
      <c r="D8" s="717"/>
      <c r="E8" s="717"/>
      <c r="F8" s="717"/>
      <c r="G8" s="717"/>
      <c r="H8" s="717"/>
      <c r="I8" s="717"/>
      <c r="J8" s="717"/>
      <c r="K8" s="718"/>
      <c r="L8" s="368"/>
    </row>
    <row r="9" spans="1:12" ht="36.75" customHeight="1">
      <c r="A9" s="490">
        <v>2</v>
      </c>
      <c r="B9" s="492" t="s">
        <v>518</v>
      </c>
      <c r="C9" s="571" t="s">
        <v>442</v>
      </c>
      <c r="D9" s="719">
        <v>36</v>
      </c>
      <c r="E9" s="719"/>
      <c r="F9" s="719">
        <v>38</v>
      </c>
      <c r="G9" s="719">
        <v>43</v>
      </c>
      <c r="H9" s="719">
        <v>51</v>
      </c>
      <c r="I9" s="719">
        <v>54</v>
      </c>
      <c r="J9" s="719">
        <v>58</v>
      </c>
      <c r="K9" s="572">
        <f>SUM(F9:J9)/5</f>
        <v>48.8</v>
      </c>
      <c r="L9" s="368"/>
    </row>
    <row r="10" spans="1:12" ht="36.75" customHeight="1">
      <c r="A10" s="490">
        <v>3</v>
      </c>
      <c r="B10" s="492" t="s">
        <v>519</v>
      </c>
      <c r="C10" s="571" t="s">
        <v>442</v>
      </c>
      <c r="D10" s="717"/>
      <c r="E10" s="719"/>
      <c r="F10" s="719">
        <f>F9-D9</f>
        <v>2</v>
      </c>
      <c r="G10" s="719">
        <f>G9-F9</f>
        <v>5</v>
      </c>
      <c r="H10" s="719">
        <f>H9-G9</f>
        <v>8</v>
      </c>
      <c r="I10" s="719">
        <f>I9-H9</f>
        <v>3</v>
      </c>
      <c r="J10" s="719">
        <f>J9-I9</f>
        <v>4</v>
      </c>
      <c r="K10" s="572">
        <f>SUM(F10:J10)/5</f>
        <v>4.4</v>
      </c>
      <c r="L10" s="368"/>
    </row>
    <row r="11" spans="1:12" ht="36.75" customHeight="1">
      <c r="A11" s="488">
        <v>4</v>
      </c>
      <c r="B11" s="492" t="s">
        <v>520</v>
      </c>
      <c r="C11" s="571" t="s">
        <v>347</v>
      </c>
      <c r="D11" s="717"/>
      <c r="E11" s="717"/>
      <c r="F11" s="719">
        <f>F10*10</f>
        <v>20</v>
      </c>
      <c r="G11" s="719">
        <f>G10*10</f>
        <v>50</v>
      </c>
      <c r="H11" s="719">
        <f>H10*10</f>
        <v>80</v>
      </c>
      <c r="I11" s="719">
        <f>I10*10</f>
        <v>30</v>
      </c>
      <c r="J11" s="719">
        <f>J10*10</f>
        <v>40</v>
      </c>
      <c r="K11" s="572">
        <f>SUM(F11:J11)/5</f>
        <v>44</v>
      </c>
      <c r="L11" s="368"/>
    </row>
    <row r="12" spans="1:12" ht="36.75" customHeight="1">
      <c r="A12" s="490">
        <v>5</v>
      </c>
      <c r="B12" s="492" t="s">
        <v>521</v>
      </c>
      <c r="C12" s="571" t="s">
        <v>442</v>
      </c>
      <c r="D12" s="717"/>
      <c r="E12" s="717"/>
      <c r="F12" s="717"/>
      <c r="G12" s="717"/>
      <c r="H12" s="717"/>
      <c r="I12" s="717"/>
      <c r="J12" s="717"/>
      <c r="K12" s="718"/>
      <c r="L12" s="368"/>
    </row>
    <row r="13" spans="1:12" ht="30" customHeight="1">
      <c r="A13" s="537" t="s">
        <v>101</v>
      </c>
      <c r="B13" s="538" t="s">
        <v>445</v>
      </c>
      <c r="C13" s="537"/>
      <c r="D13" s="569"/>
      <c r="E13" s="569"/>
      <c r="F13" s="568"/>
      <c r="G13" s="568"/>
      <c r="H13" s="568"/>
      <c r="I13" s="568"/>
      <c r="J13" s="569"/>
      <c r="K13" s="569"/>
      <c r="L13" s="441"/>
    </row>
    <row r="14" spans="1:12" ht="30" customHeight="1">
      <c r="A14" s="539">
        <v>1</v>
      </c>
      <c r="B14" s="540" t="s">
        <v>446</v>
      </c>
      <c r="C14" s="539" t="s">
        <v>445</v>
      </c>
      <c r="D14" s="568">
        <v>19</v>
      </c>
      <c r="E14" s="485">
        <v>11.2</v>
      </c>
      <c r="F14" s="568">
        <v>7</v>
      </c>
      <c r="G14" s="568">
        <f>F14+G16</f>
        <v>10</v>
      </c>
      <c r="H14" s="568">
        <f>G14+H16</f>
        <v>14</v>
      </c>
      <c r="I14" s="568">
        <f>H14+I16</f>
        <v>25</v>
      </c>
      <c r="J14" s="568">
        <f>I14+J16</f>
        <v>31</v>
      </c>
      <c r="K14" s="566">
        <f>SUM(F14:J14)/5</f>
        <v>17.4</v>
      </c>
      <c r="L14" s="442" t="s">
        <v>36</v>
      </c>
    </row>
    <row r="15" spans="1:12" ht="30" customHeight="1">
      <c r="A15" s="539"/>
      <c r="B15" s="541" t="s">
        <v>214</v>
      </c>
      <c r="C15" s="539"/>
      <c r="D15" s="568"/>
      <c r="E15" s="485"/>
      <c r="F15" s="568"/>
      <c r="G15" s="568"/>
      <c r="H15" s="568"/>
      <c r="I15" s="568"/>
      <c r="J15" s="569"/>
      <c r="K15" s="566"/>
      <c r="L15" s="442"/>
    </row>
    <row r="16" spans="1:12" ht="30" customHeight="1">
      <c r="A16" s="542" t="s">
        <v>284</v>
      </c>
      <c r="B16" s="540" t="s">
        <v>447</v>
      </c>
      <c r="C16" s="539" t="s">
        <v>445</v>
      </c>
      <c r="D16" s="568">
        <v>0.2</v>
      </c>
      <c r="E16" s="485">
        <v>1.6</v>
      </c>
      <c r="F16" s="568">
        <v>2</v>
      </c>
      <c r="G16" s="568">
        <v>3</v>
      </c>
      <c r="H16" s="568">
        <v>4</v>
      </c>
      <c r="I16" s="568">
        <v>11</v>
      </c>
      <c r="J16" s="568">
        <v>6</v>
      </c>
      <c r="K16" s="566">
        <f>SUM(F16:J16)/5</f>
        <v>5.2</v>
      </c>
      <c r="L16" s="442" t="s">
        <v>36</v>
      </c>
    </row>
    <row r="17" spans="1:12" ht="30" customHeight="1">
      <c r="A17" s="542" t="s">
        <v>284</v>
      </c>
      <c r="B17" s="540" t="s">
        <v>448</v>
      </c>
      <c r="C17" s="539" t="s">
        <v>445</v>
      </c>
      <c r="D17" s="568">
        <v>7.2</v>
      </c>
      <c r="E17" s="485"/>
      <c r="F17" s="568"/>
      <c r="G17" s="568"/>
      <c r="H17" s="568"/>
      <c r="I17" s="568"/>
      <c r="J17" s="568"/>
      <c r="K17" s="566"/>
      <c r="L17" s="442"/>
    </row>
    <row r="18" spans="1:12" ht="30" customHeight="1">
      <c r="A18" s="539">
        <v>2</v>
      </c>
      <c r="B18" s="540" t="s">
        <v>449</v>
      </c>
      <c r="C18" s="539" t="s">
        <v>409</v>
      </c>
      <c r="D18" s="567">
        <v>1933</v>
      </c>
      <c r="E18" s="485">
        <v>114</v>
      </c>
      <c r="F18" s="567">
        <v>95</v>
      </c>
      <c r="G18" s="567">
        <v>122</v>
      </c>
      <c r="H18" s="567">
        <v>152</v>
      </c>
      <c r="I18" s="567">
        <v>241</v>
      </c>
      <c r="J18" s="567">
        <v>279</v>
      </c>
      <c r="K18" s="566">
        <f>SUM(F18:J18)/5</f>
        <v>177.8</v>
      </c>
      <c r="L18" s="442" t="s">
        <v>36</v>
      </c>
    </row>
    <row r="19" spans="1:12" ht="30" customHeight="1">
      <c r="A19" s="539">
        <v>3</v>
      </c>
      <c r="B19" s="540" t="s">
        <v>450</v>
      </c>
      <c r="C19" s="539" t="s">
        <v>409</v>
      </c>
      <c r="D19" s="567">
        <v>1933</v>
      </c>
      <c r="E19" s="485">
        <v>114</v>
      </c>
      <c r="F19" s="567">
        <v>95</v>
      </c>
      <c r="G19" s="567">
        <f>G18</f>
        <v>122</v>
      </c>
      <c r="H19" s="567">
        <f>H18</f>
        <v>152</v>
      </c>
      <c r="I19" s="567">
        <f>I18</f>
        <v>241</v>
      </c>
      <c r="J19" s="567">
        <f>J18</f>
        <v>279</v>
      </c>
      <c r="K19" s="566">
        <f>SUM(F19:J19)/5</f>
        <v>177.8</v>
      </c>
      <c r="L19" s="442" t="s">
        <v>36</v>
      </c>
    </row>
    <row r="20" spans="1:12" ht="37.5">
      <c r="A20" s="539"/>
      <c r="B20" s="541" t="s">
        <v>465</v>
      </c>
      <c r="C20" s="539" t="s">
        <v>409</v>
      </c>
      <c r="D20" s="567">
        <v>1933</v>
      </c>
      <c r="E20" s="485">
        <v>114</v>
      </c>
      <c r="F20" s="567">
        <v>95</v>
      </c>
      <c r="G20" s="567">
        <f>G18</f>
        <v>122</v>
      </c>
      <c r="H20" s="567">
        <f>H18</f>
        <v>152</v>
      </c>
      <c r="I20" s="567">
        <f>I18</f>
        <v>241</v>
      </c>
      <c r="J20" s="567">
        <f>J18</f>
        <v>279</v>
      </c>
      <c r="K20" s="566">
        <f>SUM(F20:J20)/5</f>
        <v>177.8</v>
      </c>
      <c r="L20" s="442" t="s">
        <v>36</v>
      </c>
    </row>
    <row r="21" spans="1:12" ht="30" customHeight="1">
      <c r="A21" s="537" t="s">
        <v>102</v>
      </c>
      <c r="B21" s="538" t="s">
        <v>451</v>
      </c>
      <c r="C21" s="539"/>
      <c r="D21" s="569"/>
      <c r="E21" s="569"/>
      <c r="F21" s="568"/>
      <c r="G21" s="568"/>
      <c r="H21" s="568"/>
      <c r="I21" s="568"/>
      <c r="J21" s="568"/>
      <c r="K21" s="568"/>
      <c r="L21" s="441"/>
    </row>
    <row r="22" spans="1:12" ht="42" customHeight="1">
      <c r="A22" s="539">
        <v>1</v>
      </c>
      <c r="B22" s="540" t="s">
        <v>452</v>
      </c>
      <c r="C22" s="539" t="s">
        <v>451</v>
      </c>
      <c r="D22" s="569"/>
      <c r="E22" s="569"/>
      <c r="F22" s="720"/>
      <c r="G22" s="720"/>
      <c r="H22" s="720"/>
      <c r="I22" s="720"/>
      <c r="J22" s="720"/>
      <c r="K22" s="568"/>
      <c r="L22" s="441"/>
    </row>
    <row r="23" spans="1:12" ht="30" customHeight="1">
      <c r="A23" s="539"/>
      <c r="B23" s="541" t="s">
        <v>214</v>
      </c>
      <c r="C23" s="539"/>
      <c r="D23" s="569"/>
      <c r="E23" s="569"/>
      <c r="F23" s="720"/>
      <c r="G23" s="720"/>
      <c r="H23" s="720"/>
      <c r="I23" s="720"/>
      <c r="J23" s="720"/>
      <c r="K23" s="568"/>
      <c r="L23" s="441"/>
    </row>
    <row r="24" spans="1:12" ht="39" customHeight="1">
      <c r="A24" s="542" t="s">
        <v>284</v>
      </c>
      <c r="B24" s="540" t="s">
        <v>453</v>
      </c>
      <c r="C24" s="539" t="s">
        <v>451</v>
      </c>
      <c r="D24" s="569"/>
      <c r="E24" s="569"/>
      <c r="F24" s="568"/>
      <c r="G24" s="568"/>
      <c r="H24" s="568"/>
      <c r="I24" s="568"/>
      <c r="J24" s="568"/>
      <c r="K24" s="568"/>
      <c r="L24" s="441"/>
    </row>
    <row r="25" spans="1:12" ht="42" customHeight="1">
      <c r="A25" s="542" t="s">
        <v>284</v>
      </c>
      <c r="B25" s="540" t="s">
        <v>454</v>
      </c>
      <c r="C25" s="539" t="s">
        <v>451</v>
      </c>
      <c r="D25" s="569"/>
      <c r="E25" s="569"/>
      <c r="F25" s="568"/>
      <c r="G25" s="568"/>
      <c r="H25" s="568"/>
      <c r="I25" s="568"/>
      <c r="J25" s="568"/>
      <c r="K25" s="568"/>
      <c r="L25" s="441"/>
    </row>
    <row r="26" spans="1:12" ht="30" customHeight="1">
      <c r="A26" s="539">
        <v>2</v>
      </c>
      <c r="B26" s="540" t="s">
        <v>455</v>
      </c>
      <c r="C26" s="539" t="s">
        <v>445</v>
      </c>
      <c r="D26" s="569"/>
      <c r="E26" s="569"/>
      <c r="F26" s="568"/>
      <c r="G26" s="568"/>
      <c r="H26" s="568"/>
      <c r="I26" s="568"/>
      <c r="J26" s="568"/>
      <c r="K26" s="568"/>
      <c r="L26" s="441"/>
    </row>
    <row r="27" spans="1:12" ht="37.5">
      <c r="A27" s="539">
        <v>3</v>
      </c>
      <c r="B27" s="540" t="s">
        <v>456</v>
      </c>
      <c r="C27" s="539" t="s">
        <v>409</v>
      </c>
      <c r="D27" s="717"/>
      <c r="E27" s="717"/>
      <c r="F27" s="719"/>
      <c r="G27" s="719"/>
      <c r="H27" s="719"/>
      <c r="I27" s="719"/>
      <c r="J27" s="719"/>
      <c r="K27" s="719"/>
      <c r="L27" s="441"/>
    </row>
    <row r="28" spans="1:12" ht="30" customHeight="1">
      <c r="A28" s="537" t="s">
        <v>115</v>
      </c>
      <c r="B28" s="538" t="s">
        <v>457</v>
      </c>
      <c r="C28" s="537"/>
      <c r="D28" s="717"/>
      <c r="E28" s="717"/>
      <c r="F28" s="719"/>
      <c r="G28" s="719"/>
      <c r="H28" s="719"/>
      <c r="I28" s="719"/>
      <c r="J28" s="719"/>
      <c r="K28" s="719"/>
      <c r="L28" s="443"/>
    </row>
    <row r="29" spans="1:15" ht="30" customHeight="1">
      <c r="A29" s="539">
        <v>1</v>
      </c>
      <c r="B29" s="540" t="s">
        <v>458</v>
      </c>
      <c r="C29" s="539" t="s">
        <v>459</v>
      </c>
      <c r="D29" s="717"/>
      <c r="E29" s="717"/>
      <c r="F29" s="721"/>
      <c r="G29" s="722"/>
      <c r="H29" s="722"/>
      <c r="I29" s="722"/>
      <c r="J29" s="722"/>
      <c r="K29" s="719"/>
      <c r="L29" s="443"/>
      <c r="O29" s="543"/>
    </row>
    <row r="30" spans="1:12" ht="37.5">
      <c r="A30" s="539"/>
      <c r="B30" s="541" t="s">
        <v>466</v>
      </c>
      <c r="C30" s="539"/>
      <c r="D30" s="717"/>
      <c r="E30" s="717"/>
      <c r="F30" s="721"/>
      <c r="G30" s="722"/>
      <c r="H30" s="722"/>
      <c r="I30" s="722"/>
      <c r="J30" s="722"/>
      <c r="K30" s="719"/>
      <c r="L30" s="443"/>
    </row>
    <row r="31" spans="1:12" ht="30" customHeight="1">
      <c r="A31" s="539">
        <v>2</v>
      </c>
      <c r="B31" s="540" t="s">
        <v>460</v>
      </c>
      <c r="C31" s="539" t="s">
        <v>461</v>
      </c>
      <c r="D31" s="723"/>
      <c r="E31" s="723"/>
      <c r="F31" s="724"/>
      <c r="G31" s="725"/>
      <c r="H31" s="725"/>
      <c r="I31" s="725"/>
      <c r="J31" s="725"/>
      <c r="K31" s="726"/>
      <c r="L31" s="443"/>
    </row>
    <row r="32" spans="1:12" ht="37.5">
      <c r="A32" s="540"/>
      <c r="B32" s="541" t="s">
        <v>467</v>
      </c>
      <c r="C32" s="539" t="s">
        <v>409</v>
      </c>
      <c r="D32" s="723"/>
      <c r="E32" s="723"/>
      <c r="F32" s="726"/>
      <c r="G32" s="726"/>
      <c r="H32" s="726"/>
      <c r="I32" s="726"/>
      <c r="J32" s="726"/>
      <c r="K32" s="726"/>
      <c r="L32" s="443"/>
    </row>
    <row r="33" spans="1:13" ht="30" customHeight="1">
      <c r="A33" s="539">
        <v>3</v>
      </c>
      <c r="B33" s="540" t="s">
        <v>462</v>
      </c>
      <c r="C33" s="539" t="s">
        <v>409</v>
      </c>
      <c r="D33" s="723"/>
      <c r="E33" s="723"/>
      <c r="F33" s="724"/>
      <c r="G33" s="725"/>
      <c r="H33" s="725"/>
      <c r="I33" s="725"/>
      <c r="J33" s="725"/>
      <c r="K33" s="726"/>
      <c r="L33" s="544"/>
      <c r="M33" s="443"/>
    </row>
    <row r="34" spans="1:12" ht="30" customHeight="1">
      <c r="A34" s="540"/>
      <c r="B34" s="541" t="s">
        <v>214</v>
      </c>
      <c r="C34" s="539"/>
      <c r="D34" s="723"/>
      <c r="E34" s="723"/>
      <c r="F34" s="727"/>
      <c r="G34" s="727"/>
      <c r="H34" s="727"/>
      <c r="I34" s="727"/>
      <c r="J34" s="727"/>
      <c r="K34" s="726"/>
      <c r="L34" s="443"/>
    </row>
    <row r="35" spans="1:12" ht="37.5">
      <c r="A35" s="540" t="s">
        <v>284</v>
      </c>
      <c r="B35" s="540" t="s">
        <v>463</v>
      </c>
      <c r="C35" s="539" t="s">
        <v>409</v>
      </c>
      <c r="D35" s="804"/>
      <c r="E35" s="804"/>
      <c r="F35" s="726"/>
      <c r="G35" s="726"/>
      <c r="H35" s="726"/>
      <c r="I35" s="726"/>
      <c r="J35" s="726"/>
      <c r="K35" s="726"/>
      <c r="L35" s="805"/>
    </row>
    <row r="36" spans="1:12" ht="37.5">
      <c r="A36" s="540" t="s">
        <v>284</v>
      </c>
      <c r="B36" s="540" t="s">
        <v>464</v>
      </c>
      <c r="C36" s="539" t="s">
        <v>409</v>
      </c>
      <c r="D36" s="804"/>
      <c r="E36" s="804"/>
      <c r="F36" s="726"/>
      <c r="G36" s="726"/>
      <c r="H36" s="726"/>
      <c r="I36" s="726"/>
      <c r="J36" s="726"/>
      <c r="K36" s="726"/>
      <c r="L36" s="805"/>
    </row>
  </sheetData>
  <sheetProtection/>
  <mergeCells count="12">
    <mergeCell ref="H1:I1"/>
    <mergeCell ref="L5:L6"/>
    <mergeCell ref="A3:L3"/>
    <mergeCell ref="E5:E6"/>
    <mergeCell ref="F5:J5"/>
    <mergeCell ref="K5:K6"/>
    <mergeCell ref="B2:L2"/>
    <mergeCell ref="J1:L1"/>
    <mergeCell ref="A5:A6"/>
    <mergeCell ref="B5:B6"/>
    <mergeCell ref="C5:C6"/>
    <mergeCell ref="D5:D6"/>
  </mergeCells>
  <printOptions/>
  <pageMargins left="0.511811023622047" right="0.511811023622047" top="0.748031496062992" bottom="0.748031496062992" header="0.31496062992126" footer="0.31496062992126"/>
  <pageSetup fitToHeight="0" fitToWidth="1" horizontalDpi="600" verticalDpi="600" orientation="landscape" paperSize="9" scale="70" r:id="rId3"/>
  <headerFooter alignWithMargins="0"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Phu Ha</dc:creator>
  <cp:keywords/>
  <dc:description/>
  <cp:lastModifiedBy>Bach</cp:lastModifiedBy>
  <cp:lastPrinted>2020-12-11T15:28:31Z</cp:lastPrinted>
  <dcterms:created xsi:type="dcterms:W3CDTF">2008-09-24T14:33:07Z</dcterms:created>
  <dcterms:modified xsi:type="dcterms:W3CDTF">2020-12-11T02:38:03Z</dcterms:modified>
  <cp:category/>
  <cp:version/>
  <cp:contentType/>
  <cp:contentStatus/>
</cp:coreProperties>
</file>