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7250" windowHeight="5625" activeTab="0"/>
  </bookViews>
  <sheets>
    <sheet name="Biểu tổng hợp đấu thầu" sheetId="1" r:id="rId1"/>
    <sheet name="Sheet1" sheetId="2" r:id="rId2"/>
  </sheets>
  <definedNames>
    <definedName name="_xlnm.Print_Area" localSheetId="0">'Biểu tổng hợp đấu thầu'!$A$1:$X$38</definedName>
    <definedName name="_xlnm.Print_Area" localSheetId="1">'Sheet1'!$A$6:$K$202</definedName>
    <definedName name="_xlnm.Print_Titles" localSheetId="1">'Sheet1'!$6:$6</definedName>
  </definedNames>
  <calcPr fullCalcOnLoad="1"/>
</workbook>
</file>

<file path=xl/sharedStrings.xml><?xml version="1.0" encoding="utf-8"?>
<sst xmlns="http://schemas.openxmlformats.org/spreadsheetml/2006/main" count="656" uniqueCount="152">
  <si>
    <t>STT</t>
  </si>
  <si>
    <t>Tên dự án</t>
  </si>
  <si>
    <t>Giá gói thầu theo KH</t>
  </si>
  <si>
    <t xml:space="preserve">Cải tạo, sửa chữa trường THTHCS xã Tỏa Tình </t>
  </si>
  <si>
    <t>Chủ đầu tư</t>
  </si>
  <si>
    <t>TMĐT</t>
  </si>
  <si>
    <t xml:space="preserve">Xây lắp </t>
  </si>
  <si>
    <t>Giám sát thi công xây lắp</t>
  </si>
  <si>
    <t>Đường từ bản Hồng Lực, xã Nà Sáy - bản Co Đứa, xã Mường Khong, huyện Tuần Giáo</t>
  </si>
  <si>
    <t>Xây lắp</t>
  </si>
  <si>
    <t>UBND huyện Tuần Giáo</t>
  </si>
  <si>
    <t xml:space="preserve">Nâng cấp đường vào bản Gia Bọp (Giai đoạn 2) </t>
  </si>
  <si>
    <t>Ban QLDA các công trình huyện Tuần Giáo</t>
  </si>
  <si>
    <t>Nâng cấp đường vào bản Co Phát (Giai đoạn 2)</t>
  </si>
  <si>
    <t>Nâng cấp kênh nội đồng bản Che Phai + bản Kép (giai đoạn 2)</t>
  </si>
  <si>
    <t xml:space="preserve">Nâng cấp đường bản Có </t>
  </si>
  <si>
    <t>Kè chống sạt lở suối Nậm Hon (đoạn bản Giăng xã Quài Cang)</t>
  </si>
  <si>
    <t>Giá gói thầu theo TBMT (hoặc QĐ điều chỉnh)</t>
  </si>
  <si>
    <t>Tự thực hiện</t>
  </si>
  <si>
    <t>Cải tạo, sửa chữa trường TH Mùn Chung</t>
  </si>
  <si>
    <t xml:space="preserve">Phòng GD&amp;ĐT huyện Tuần Giáo </t>
  </si>
  <si>
    <t xml:space="preserve">Cải tạo, sửa chữa các trường MN, TH xã Quài Tở </t>
  </si>
  <si>
    <t xml:space="preserve">Nâng cấp đường QL279 - bản Pom Sinh </t>
  </si>
  <si>
    <t xml:space="preserve">Nâng cấp đường bản Chăn </t>
  </si>
  <si>
    <t xml:space="preserve">Cải tạo, sửa chữa trường PTDTBT TH Ta Ma </t>
  </si>
  <si>
    <t>Nâng cấp đường bản Ten Cá</t>
  </si>
  <si>
    <t>Cải tạo, sửa chữa các trường mầm non, tiểu học xã Nà Tòng</t>
  </si>
  <si>
    <t xml:space="preserve">Cải tạo, sửa chữa trường tiểu học Pú Nhung </t>
  </si>
  <si>
    <t>Nâng cấp đường bản Đứa</t>
  </si>
  <si>
    <t xml:space="preserve">Sửa chữa trụ sở xã Mùn Chung + xã Mường Mùn </t>
  </si>
  <si>
    <t>Cải tạo, sửa chữa các trường Mầm Non xã Quài Nưa</t>
  </si>
  <si>
    <t xml:space="preserve">Sửa chữa, cải tạo trụ sở HĐND-UBND huyện </t>
  </si>
  <si>
    <t xml:space="preserve">Cải tạo, sửa chữa các trường TH Mường Thín, TH Chiềng Sinh </t>
  </si>
  <si>
    <t>Nâng cấp đường bản Phung + bản Phủ + bản Sái Ngoài</t>
  </si>
  <si>
    <t>Nâng cấp thủy lợi bản Khá, bản Sái Ngoài</t>
  </si>
  <si>
    <t xml:space="preserve">Nâng cấp sửa chữa nước sinh hoạt bản Nậm Cá </t>
  </si>
  <si>
    <t xml:space="preserve">Cải tạo, sửa chữa trường PTDTBT TH Rạng Đông </t>
  </si>
  <si>
    <t>Nâng cấp đường vào bản Hua Ca - Thẳm Pao, xã Quài Tở (giai đoạn 1)</t>
  </si>
  <si>
    <t xml:space="preserve">Hợp tác liên kết sản xuất và tiêu thụ sản phẩm quả Xoài GL4 tại xã Rạng Đông, xã Pú Nhung, huyện Tuần Giáo, tỉnh Điện Biên </t>
  </si>
  <si>
    <t>Trung tâm dịch vụ nông nghiệp</t>
  </si>
  <si>
    <t xml:space="preserve">Cải tạo, sửa chữa các trường MN, TH xã Quài Cang </t>
  </si>
  <si>
    <t xml:space="preserve">Đèn chiếu sáng, đèn trang trí khu trung tâm thị trấn Tuần Giáo (QL6, QL279 + đường tránh QL279) </t>
  </si>
  <si>
    <t xml:space="preserve">Kênh tiêu úng, kênh nội đồng, chống xói kênh khu vực bản Chấng, bản Bông, bản Đứa, Xuân Ban </t>
  </si>
  <si>
    <t xml:space="preserve">Nâng cấp đường bản Hua Mức 3 - Trung tâm xã Pú Xi (giai đoạn 2) </t>
  </si>
  <si>
    <t xml:space="preserve">Nhà văn hóa bản Bó Giáng, xã Quài Nưa </t>
  </si>
  <si>
    <t xml:space="preserve">Kè bảo vệ khu dân cư khu vực bản Nát xã Quài Cang, huyện Tuần Giáo </t>
  </si>
  <si>
    <t xml:space="preserve">Trung học cơ sở thị trấn Tuần Giáo </t>
  </si>
  <si>
    <t>Tư vấn (Khảo sát địa chất + thiết kế BVTC-TDT)</t>
  </si>
  <si>
    <t>Tư vấn (Thẩm tra thiết kế BVTC-TDT)</t>
  </si>
  <si>
    <t>Tư vấn (Cắm mốc GPMB và trích đo bản đồ, lập hồ sơ địa chính)</t>
  </si>
  <si>
    <t xml:space="preserve">UBND huyện Tuần Giáo </t>
  </si>
  <si>
    <t xml:space="preserve">Kè bảo vệ khu dân cư và đất sản xuất khu vực bản Cộng I, bản Cộng II, bản Pom Sinh xã Chiềng Đông, huyện Tuần Giáo </t>
  </si>
  <si>
    <t>Tư vấn (Trích đo bản đồ, lập hồ sơ địa chính)</t>
  </si>
  <si>
    <t xml:space="preserve">Công viên cây xanh trung tâm huyện Tuần Giáo </t>
  </si>
  <si>
    <t>Tư vấn (Gói thầu số 02: Khảo sát + thiết kế BVTC-TDT)</t>
  </si>
  <si>
    <t>Tư vấn (Gói thầu số 03: Thẩm tra thiết kế BVTC-TDT)</t>
  </si>
  <si>
    <t>Xây lắp (Gói thầu số 01: Xây lắp + thiết bị)</t>
  </si>
  <si>
    <t>Tư vấn (Gói thầu số 04: Giám sát thi công xây lắp + thiết bị)</t>
  </si>
  <si>
    <t>Tư vấn (Gói thầu số 05: Cắm mốc GPMB và trích đo bản đồ, lập hồ sơ địa chính)</t>
  </si>
  <si>
    <t xml:space="preserve">Đường từ Ngầm Chiềng An đến khối Đoàn Kết   </t>
  </si>
  <si>
    <t>Tư vấn (Gói thầu số 01: Khảo sát, thiết kế bản vẽ thi công)</t>
  </si>
  <si>
    <t>Tư vấn (Gói thầu số 02: Thẩm tra thiết kế BVTC-TDT)</t>
  </si>
  <si>
    <t>Tư vấn (Gói thầu số 03: Cắm mốc GPMB và trích đo bản đồ, lập hồ sơ địa chính)</t>
  </si>
  <si>
    <t>Xây lắp (Gói thầu số 01: Gói thầu xây lắp)</t>
  </si>
  <si>
    <t>Tư vấn (Gói thầu số 02: Gói thầu giám sát thi công xây lắp)</t>
  </si>
  <si>
    <t xml:space="preserve">Trung tâm giáo dục nghề nghiệp và giáo dục thường xuyên </t>
  </si>
  <si>
    <t>Xây lắp (Số 01: Xây lắp + thiết bị (Phần xây dựng))</t>
  </si>
  <si>
    <t>Xây lắp (Số 02: Xây lắp (Phần di chuyển đường điện))</t>
  </si>
  <si>
    <t>Tư vấn (Số 03: Thiết kế BVTC-TDT (Phần xây dựng))</t>
  </si>
  <si>
    <t>Tư vấn (Số 04: Khảo sát + Thiết kế BVTC-TDT (Phần di chuyển đường điện))</t>
  </si>
  <si>
    <t>Tư vấn (Số 05: Thẩm tra thiết kế BVTC-TDT)</t>
  </si>
  <si>
    <t>Tư vấn (Số 06: Giám sát thi công xây lắp + thiết bị (phần xây dựng))</t>
  </si>
  <si>
    <t>Tư vấn (Số 07: Giám sát thi công xây lắp (phần di chuyển đường điện))</t>
  </si>
  <si>
    <t>Phi tư vấn (Số 08: Bảo hiểm công trình)</t>
  </si>
  <si>
    <t xml:space="preserve">Kè bảo vệ suối Nậm Hua khu vực bản Hiệu, bản Kép xã Chiềng Sinh, huyện Tuần Giáo </t>
  </si>
  <si>
    <t>Tư vấn (Giám sát thi công xây lắp)</t>
  </si>
  <si>
    <t>Hạ tầng nhà máy xử lý rác thải huyện Tuần Giáo</t>
  </si>
  <si>
    <t>Tư vấn (Giám sát thi công xây lắp + thiết bị)</t>
  </si>
  <si>
    <t>Tư vấn (Lập HSYC và đánh giá HSĐX xây lắp)</t>
  </si>
  <si>
    <t>Giá trúng thầu</t>
  </si>
  <si>
    <t>Hạ tầng khu đất số 3 khối Sơn Thủy</t>
  </si>
  <si>
    <t>Chênh lệch</t>
  </si>
  <si>
    <t>TỔNG CỘNG</t>
  </si>
  <si>
    <t>CHCTQM</t>
  </si>
  <si>
    <t>CĐTRG</t>
  </si>
  <si>
    <t>TTH</t>
  </si>
  <si>
    <t>ĐTRRQM</t>
  </si>
  <si>
    <t>Hình thức LCNT</t>
  </si>
  <si>
    <t>XL</t>
  </si>
  <si>
    <t>TV</t>
  </si>
  <si>
    <t>Tư vấn</t>
  </si>
  <si>
    <t>Đấu thầu rộng rãi</t>
  </si>
  <si>
    <t>Chào hàng cạnh tranh</t>
  </si>
  <si>
    <t>CĐT rút gọn</t>
  </si>
  <si>
    <t>Kè chống xói lở suối Nậm Hon (Khu vực bản Chiềng Chung)</t>
  </si>
  <si>
    <t>Nâng cấp sửa chữa khu cách ly Mùn Chung + các chốt kiểm dịch và các hạng mục phụ trợ các khu cách ly</t>
  </si>
  <si>
    <t>Kè chống xói lở suối Nậm Hon khu vực bản Sái Ngoài xã Quài Cang</t>
  </si>
  <si>
    <t>Khắc phục hậu quả thiên tai tuyến đường từ TT xã Tênh Phông đến ngã ba Há Dùa (giai đoạn 1)</t>
  </si>
  <si>
    <t>Khắc phục hậu quả thiên tai tuyến đường Tuần Giáo - Tênh Phông; Điểm sạt ngã ba Há Dùa; Pú Xi - Hát Láu</t>
  </si>
  <si>
    <t>Khắc phục hậu quả thiên tai tuyến đường Há Dùa - Xá Tự</t>
  </si>
  <si>
    <t>Hệ thống tưới ẩm (cây ăn quả)</t>
  </si>
  <si>
    <t>Cắm mốc, giải phóng mặt bằng và trích đo bản đồ, lập hồ sơ địa chính</t>
  </si>
  <si>
    <t>Gói thầu số 1: XL+TB</t>
  </si>
  <si>
    <t>Gói thầu số 2: Xây lắp</t>
  </si>
  <si>
    <t>Kè chống xói lở suối Nậm Hon khu vực bản Nong Tấu</t>
  </si>
  <si>
    <t xml:space="preserve">Tổng giá </t>
  </si>
  <si>
    <t>Tổng cộng II</t>
  </si>
  <si>
    <t>KQM</t>
  </si>
  <si>
    <t>Trong nước</t>
  </si>
  <si>
    <t>8. Tham gia thực hiện của cộng đồng</t>
  </si>
  <si>
    <t>Quốc tế</t>
  </si>
  <si>
    <t>7.Đặc biệt</t>
  </si>
  <si>
    <t>6. Tự thực hiện</t>
  </si>
  <si>
    <t>5. Mua sắm trực tiếp</t>
  </si>
  <si>
    <t>QM</t>
  </si>
  <si>
    <t>4. Chào hàng cạnh tranh</t>
  </si>
  <si>
    <t>3. Chỉ định thầu</t>
  </si>
  <si>
    <t>2. Hạn chế</t>
  </si>
  <si>
    <t>1. Rộng rãi</t>
  </si>
  <si>
    <t>II. THEO HÌNH THỨC LỰA CHỌN NHÀ THẦU</t>
  </si>
  <si>
    <t>Tổng cộng I</t>
  </si>
  <si>
    <t>5. Hỗn hợp</t>
  </si>
  <si>
    <t>4. Xây lắp</t>
  </si>
  <si>
    <t>3. Mua sắm hàng hóa</t>
  </si>
  <si>
    <t>2. Tư vấn</t>
  </si>
  <si>
    <t>1. Phi tư vấn</t>
  </si>
  <si>
    <t>I. THEO LĨNH VỰC ĐẤU THẦU</t>
  </si>
  <si>
    <t>Tổng giá trúng thầu</t>
  </si>
  <si>
    <t>Tổng giá gói thầu</t>
  </si>
  <si>
    <t>Tổng số gói thầu</t>
  </si>
  <si>
    <t>Cộng (1+2+3+4)</t>
  </si>
  <si>
    <t>Dự án nhóm C</t>
  </si>
  <si>
    <t>Dự án nhóm B</t>
  </si>
  <si>
    <t>Dự án nhóm A</t>
  </si>
  <si>
    <t>Dự án quan trọng quốc gia do Quốc hội chủ trương đầu tư</t>
  </si>
  <si>
    <t>LĨNH VỰC VÀ HÌNH THỨC</t>
  </si>
  <si>
    <t>Đơn vị: Triệu đồng</t>
  </si>
  <si>
    <t>Biểu 2.1</t>
  </si>
  <si>
    <t>Mô hình áp dụng giống mới, tiến bộ khoa học kỹ thuật, công nghệ mới trong sản xuất lúa vụ Đông Xuân 2021-2022 thuộc nguồn vốn hỗ trợ địa phương đất trồng lúa năm 2021</t>
  </si>
  <si>
    <t>Hàng hóa</t>
  </si>
  <si>
    <t>Tư vấn tập huấn</t>
  </si>
  <si>
    <t>Tư vấn lập+đánh giá hsdt</t>
  </si>
  <si>
    <t>HH</t>
  </si>
  <si>
    <t>Hàng hóa Mua cây giống</t>
  </si>
  <si>
    <t>Hàng hóa Mua bao bì nhãn mác</t>
  </si>
  <si>
    <t>CTXL</t>
  </si>
  <si>
    <t>CĐTXL</t>
  </si>
  <si>
    <t>Tư vấn KS thiết kế</t>
  </si>
  <si>
    <t>Tư vấn thẩm tra</t>
  </si>
  <si>
    <t>PTV</t>
  </si>
  <si>
    <t>BÁO CÁO TỔNG HỢP KẾT QUẢ LỰA CHỌN NHÀ THẦU
 DỰ ÁN SỬ DỤNG VỐN NHÀ NƯỚC NĂM 2018 THEO QUY ĐỊNH TẠI KHOẢN 1, KHOẢN 2 VÀ KHOẢN 4 ĐIỀU 1 LUẬT ĐẤU THẦU SỐ 43/2013/QH13</t>
  </si>
  <si>
    <t>Tỷ lệ tiết kiệm trong đấu thầu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</si>
</sst>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000%"/>
    <numFmt numFmtId="174" formatCode="0.000"/>
    <numFmt numFmtId="175" formatCode="0.0000"/>
    <numFmt numFmtId="176" formatCode="#,##0.0"/>
    <numFmt numFmtId="177" formatCode="0.0"/>
    <numFmt numFmtId="178" formatCode="0.0%"/>
  </numFmts>
  <fonts count="5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33" borderId="12" xfId="0" applyNumberFormat="1" applyFont="1" applyFill="1" applyBorder="1" applyAlignment="1">
      <alignment vertical="center" wrapText="1"/>
    </xf>
    <xf numFmtId="3" fontId="0" fillId="33" borderId="14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vertical="center" wrapText="1"/>
    </xf>
    <xf numFmtId="3" fontId="47" fillId="0" borderId="12" xfId="0" applyNumberFormat="1" applyFont="1" applyBorder="1" applyAlignment="1">
      <alignment vertical="center" wrapText="1"/>
    </xf>
    <xf numFmtId="3" fontId="47" fillId="0" borderId="13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  <xf numFmtId="3" fontId="47" fillId="33" borderId="11" xfId="0" applyNumberFormat="1" applyFont="1" applyFill="1" applyBorder="1" applyAlignment="1">
      <alignment vertical="center" wrapText="1"/>
    </xf>
    <xf numFmtId="3" fontId="0" fillId="33" borderId="15" xfId="0" applyNumberForma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3" fontId="0" fillId="33" borderId="12" xfId="0" applyNumberForma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3" fontId="46" fillId="33" borderId="12" xfId="0" applyNumberFormat="1" applyFont="1" applyFill="1" applyBorder="1" applyAlignment="1">
      <alignment vertical="center" wrapText="1"/>
    </xf>
    <xf numFmtId="0" fontId="48" fillId="9" borderId="10" xfId="0" applyFont="1" applyFill="1" applyBorder="1" applyAlignment="1" quotePrefix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10" fontId="45" fillId="0" borderId="0" xfId="0" applyNumberFormat="1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175" fontId="0" fillId="0" borderId="10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33" borderId="11" xfId="0" applyNumberForma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center" vertical="center" wrapText="1"/>
    </xf>
    <xf numFmtId="0" fontId="48" fillId="9" borderId="16" xfId="0" applyFont="1" applyFill="1" applyBorder="1" applyAlignment="1" quotePrefix="1">
      <alignment horizontal="center" vertical="center" wrapText="1"/>
    </xf>
    <xf numFmtId="3" fontId="48" fillId="9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48" fillId="9" borderId="17" xfId="0" applyFont="1" applyFill="1" applyBorder="1" applyAlignment="1" quotePrefix="1">
      <alignment horizontal="center" vertical="center" wrapText="1"/>
    </xf>
    <xf numFmtId="3" fontId="48" fillId="9" borderId="17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left" vertical="center" wrapText="1"/>
      <protection/>
    </xf>
    <xf numFmtId="176" fontId="3" fillId="0" borderId="11" xfId="57" applyNumberFormat="1" applyFont="1" applyBorder="1" applyAlignment="1">
      <alignment horizontal="right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left" vertical="center" wrapText="1"/>
      <protection/>
    </xf>
    <xf numFmtId="1" fontId="3" fillId="0" borderId="13" xfId="57" applyNumberFormat="1" applyFont="1" applyBorder="1" applyAlignment="1">
      <alignment horizontal="center" vertical="center" wrapText="1"/>
      <protection/>
    </xf>
    <xf numFmtId="1" fontId="3" fillId="0" borderId="11" xfId="57" applyNumberFormat="1" applyFont="1" applyBorder="1" applyAlignment="1">
      <alignment horizontal="center" vertical="center" wrapText="1"/>
      <protection/>
    </xf>
    <xf numFmtId="1" fontId="3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176" fontId="4" fillId="0" borderId="10" xfId="57" applyNumberFormat="1" applyFont="1" applyBorder="1" applyAlignment="1">
      <alignment horizontal="right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176" fontId="3" fillId="0" borderId="10" xfId="57" applyNumberFormat="1" applyFont="1" applyBorder="1" applyAlignment="1">
      <alignment horizontal="center" vertical="center" wrapText="1"/>
      <protection/>
    </xf>
    <xf numFmtId="176" fontId="3" fillId="0" borderId="0" xfId="57" applyNumberFormat="1" applyFont="1" applyAlignment="1">
      <alignment horizontal="right" vertical="center" wrapText="1"/>
      <protection/>
    </xf>
    <xf numFmtId="0" fontId="2" fillId="0" borderId="13" xfId="57" applyFont="1" applyBorder="1" applyAlignment="1">
      <alignment horizontal="center" vertical="center" wrapText="1"/>
      <protection/>
    </xf>
    <xf numFmtId="3" fontId="2" fillId="0" borderId="13" xfId="57" applyNumberFormat="1" applyFont="1" applyBorder="1" applyAlignment="1">
      <alignment horizontal="center" vertical="center" wrapText="1"/>
      <protection/>
    </xf>
    <xf numFmtId="3" fontId="2" fillId="0" borderId="11" xfId="57" applyNumberFormat="1" applyFont="1" applyBorder="1" applyAlignment="1">
      <alignment horizontal="center" vertical="center" wrapText="1"/>
      <protection/>
    </xf>
    <xf numFmtId="0" fontId="48" fillId="9" borderId="19" xfId="0" applyFont="1" applyFill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 wrapText="1"/>
      <protection/>
    </xf>
    <xf numFmtId="3" fontId="0" fillId="33" borderId="13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 wrapText="1"/>
    </xf>
    <xf numFmtId="3" fontId="5" fillId="0" borderId="0" xfId="57" applyNumberFormat="1" applyFont="1" applyAlignment="1">
      <alignment horizontal="right" vertical="center"/>
      <protection/>
    </xf>
    <xf numFmtId="4" fontId="2" fillId="0" borderId="11" xfId="57" applyNumberFormat="1" applyFont="1" applyBorder="1" applyAlignment="1">
      <alignment horizontal="right" vertical="center" wrapText="1"/>
      <protection/>
    </xf>
    <xf numFmtId="4" fontId="2" fillId="0" borderId="13" xfId="57" applyNumberFormat="1" applyFont="1" applyBorder="1" applyAlignment="1">
      <alignment horizontal="right" vertical="center" wrapText="1"/>
      <protection/>
    </xf>
    <xf numFmtId="4" fontId="3" fillId="0" borderId="12" xfId="57" applyNumberFormat="1" applyFont="1" applyBorder="1" applyAlignment="1">
      <alignment horizontal="right" vertical="center" wrapText="1"/>
      <protection/>
    </xf>
    <xf numFmtId="4" fontId="3" fillId="0" borderId="13" xfId="57" applyNumberFormat="1" applyFont="1" applyBorder="1" applyAlignment="1">
      <alignment horizontal="right" vertical="center" wrapText="1"/>
      <protection/>
    </xf>
    <xf numFmtId="4" fontId="3" fillId="0" borderId="11" xfId="57" applyNumberFormat="1" applyFont="1" applyBorder="1" applyAlignment="1">
      <alignment horizontal="right" vertical="center" wrapText="1"/>
      <protection/>
    </xf>
    <xf numFmtId="4" fontId="3" fillId="0" borderId="10" xfId="57" applyNumberFormat="1" applyFont="1" applyBorder="1" applyAlignment="1">
      <alignment horizontal="right" vertical="center" wrapText="1"/>
      <protection/>
    </xf>
    <xf numFmtId="4" fontId="3" fillId="0" borderId="11" xfId="57" applyNumberFormat="1" applyFont="1" applyBorder="1" applyAlignment="1">
      <alignment vertical="center" wrapText="1"/>
      <protection/>
    </xf>
    <xf numFmtId="176" fontId="3" fillId="0" borderId="13" xfId="57" applyNumberFormat="1" applyFont="1" applyBorder="1" applyAlignment="1">
      <alignment horizontal="right" vertical="center" wrapText="1"/>
      <protection/>
    </xf>
    <xf numFmtId="4" fontId="3" fillId="0" borderId="13" xfId="57" applyNumberFormat="1" applyFont="1" applyBorder="1" applyAlignment="1">
      <alignment vertical="center" wrapText="1"/>
      <protection/>
    </xf>
    <xf numFmtId="1" fontId="3" fillId="0" borderId="17" xfId="57" applyNumberFormat="1" applyFont="1" applyBorder="1" applyAlignment="1">
      <alignment horizontal="center" vertical="center" wrapText="1"/>
      <protection/>
    </xf>
    <xf numFmtId="4" fontId="3" fillId="0" borderId="17" xfId="57" applyNumberFormat="1" applyFont="1" applyBorder="1" applyAlignment="1">
      <alignment horizontal="right" vertical="center" wrapText="1"/>
      <protection/>
    </xf>
    <xf numFmtId="1" fontId="3" fillId="0" borderId="10" xfId="57" applyNumberFormat="1" applyFont="1" applyBorder="1" applyAlignment="1">
      <alignment horizontal="center" vertical="center" wrapText="1"/>
      <protection/>
    </xf>
    <xf numFmtId="4" fontId="3" fillId="0" borderId="10" xfId="57" applyNumberFormat="1" applyFont="1" applyBorder="1" applyAlignment="1">
      <alignment vertical="center" wrapText="1"/>
      <protection/>
    </xf>
    <xf numFmtId="1" fontId="2" fillId="0" borderId="11" xfId="57" applyNumberFormat="1" applyFont="1" applyBorder="1" applyAlignment="1">
      <alignment horizontal="center" vertical="center" wrapText="1"/>
      <protection/>
    </xf>
    <xf numFmtId="4" fontId="2" fillId="0" borderId="11" xfId="57" applyNumberFormat="1" applyFont="1" applyBorder="1" applyAlignment="1">
      <alignment vertical="center" wrapText="1"/>
      <protection/>
    </xf>
    <xf numFmtId="1" fontId="2" fillId="0" borderId="13" xfId="57" applyNumberFormat="1" applyFont="1" applyBorder="1" applyAlignment="1">
      <alignment horizontal="center" vertical="center" wrapText="1"/>
      <protection/>
    </xf>
    <xf numFmtId="3" fontId="3" fillId="0" borderId="12" xfId="57" applyNumberFormat="1" applyFont="1" applyBorder="1" applyAlignment="1">
      <alignment horizontal="center" vertical="center" wrapText="1"/>
      <protection/>
    </xf>
    <xf numFmtId="3" fontId="3" fillId="0" borderId="13" xfId="57" applyNumberFormat="1" applyFont="1" applyBorder="1" applyAlignment="1">
      <alignment horizontal="center" vertical="center" wrapText="1"/>
      <protection/>
    </xf>
    <xf numFmtId="3" fontId="3" fillId="0" borderId="11" xfId="57" applyNumberFormat="1" applyFont="1" applyBorder="1" applyAlignment="1">
      <alignment horizontal="center" vertical="center" wrapText="1"/>
      <protection/>
    </xf>
    <xf numFmtId="176" fontId="3" fillId="0" borderId="11" xfId="57" applyNumberFormat="1" applyFont="1" applyBorder="1" applyAlignment="1">
      <alignment horizontal="center" vertical="center" wrapText="1"/>
      <protection/>
    </xf>
    <xf numFmtId="176" fontId="3" fillId="0" borderId="13" xfId="57" applyNumberFormat="1" applyFont="1" applyBorder="1" applyAlignment="1">
      <alignment horizontal="center" vertical="center" wrapText="1"/>
      <protection/>
    </xf>
    <xf numFmtId="0" fontId="49" fillId="0" borderId="0" xfId="57" applyFont="1">
      <alignment/>
      <protection/>
    </xf>
    <xf numFmtId="4" fontId="49" fillId="0" borderId="0" xfId="57" applyNumberFormat="1" applyFont="1">
      <alignment/>
      <protection/>
    </xf>
    <xf numFmtId="3" fontId="49" fillId="0" borderId="0" xfId="57" applyNumberFormat="1" applyFont="1">
      <alignment/>
      <protection/>
    </xf>
    <xf numFmtId="176" fontId="49" fillId="0" borderId="0" xfId="57" applyNumberFormat="1" applyFont="1">
      <alignment/>
      <protection/>
    </xf>
    <xf numFmtId="10" fontId="3" fillId="0" borderId="10" xfId="60" applyNumberFormat="1" applyFont="1" applyBorder="1" applyAlignment="1">
      <alignment horizontal="center" vertical="center" wrapText="1"/>
    </xf>
    <xf numFmtId="0" fontId="2" fillId="33" borderId="0" xfId="57" applyFont="1" applyFill="1" applyAlignment="1">
      <alignment horizontal="center" vertical="center" wrapText="1"/>
      <protection/>
    </xf>
    <xf numFmtId="0" fontId="3" fillId="33" borderId="0" xfId="57" applyFont="1" applyFill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16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25" xfId="57" applyFont="1" applyBorder="1" applyAlignment="1">
      <alignment horizontal="left" vertical="center" wrapText="1"/>
      <protection/>
    </xf>
    <xf numFmtId="0" fontId="3" fillId="0" borderId="17" xfId="57" applyFont="1" applyBorder="1" applyAlignment="1">
      <alignment horizontal="left" vertical="center" wrapText="1"/>
      <protection/>
    </xf>
    <xf numFmtId="0" fontId="3" fillId="0" borderId="11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16" xfId="57" applyFont="1" applyBorder="1" applyAlignment="1">
      <alignment horizontal="left" vertical="center" wrapText="1"/>
      <protection/>
    </xf>
    <xf numFmtId="176" fontId="2" fillId="0" borderId="0" xfId="57" applyNumberFormat="1" applyFont="1" applyAlignment="1">
      <alignment horizontal="right" vertical="center" wrapText="1"/>
      <protection/>
    </xf>
    <xf numFmtId="0" fontId="2" fillId="0" borderId="0" xfId="57" applyFont="1" applyAlignment="1">
      <alignment horizontal="center" vertical="center" wrapText="1"/>
      <protection/>
    </xf>
    <xf numFmtId="0" fontId="4" fillId="0" borderId="26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1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="70" zoomScaleNormal="80" zoomScaleSheetLayoutView="70" zoomScalePageLayoutView="0" workbookViewId="0" topLeftCell="A1">
      <selection activeCell="A5" sqref="A5:C6"/>
    </sheetView>
  </sheetViews>
  <sheetFormatPr defaultColWidth="8.75390625" defaultRowHeight="15.75"/>
  <cols>
    <col min="1" max="1" width="17.00390625" style="145" customWidth="1"/>
    <col min="2" max="3" width="8.75390625" style="145" customWidth="1"/>
    <col min="4" max="4" width="7.625" style="145" customWidth="1"/>
    <col min="5" max="5" width="8.00390625" style="145" customWidth="1"/>
    <col min="6" max="6" width="7.625" style="145" customWidth="1"/>
    <col min="7" max="7" width="5.875" style="145" customWidth="1"/>
    <col min="8" max="8" width="7.00390625" style="145" customWidth="1"/>
    <col min="9" max="9" width="7.50390625" style="145" customWidth="1"/>
    <col min="10" max="10" width="7.625" style="145" customWidth="1"/>
    <col min="11" max="11" width="6.50390625" style="145" customWidth="1"/>
    <col min="12" max="12" width="7.375" style="145" customWidth="1"/>
    <col min="13" max="13" width="7.125" style="145" customWidth="1"/>
    <col min="14" max="14" width="7.375" style="145" customWidth="1"/>
    <col min="15" max="15" width="7.00390625" style="145" customWidth="1"/>
    <col min="16" max="16" width="7.375" style="145" customWidth="1"/>
    <col min="17" max="17" width="10.625" style="145" customWidth="1"/>
    <col min="18" max="18" width="9.875" style="145" customWidth="1"/>
    <col min="19" max="20" width="8.875" style="145" bestFit="1" customWidth="1"/>
    <col min="21" max="21" width="10.125" style="145" customWidth="1"/>
    <col min="22" max="22" width="10.00390625" style="145" customWidth="1"/>
    <col min="23" max="24" width="8.875" style="145" bestFit="1" customWidth="1"/>
    <col min="25" max="25" width="9.625" style="145" bestFit="1" customWidth="1"/>
    <col min="26" max="16384" width="8.75390625" style="145" customWidth="1"/>
  </cols>
  <sheetData>
    <row r="1" spans="17:23" s="88" customFormat="1" ht="12.75">
      <c r="Q1" s="104"/>
      <c r="R1" s="104"/>
      <c r="S1" s="104"/>
      <c r="U1" s="169" t="s">
        <v>137</v>
      </c>
      <c r="V1" s="169"/>
      <c r="W1" s="169"/>
    </row>
    <row r="2" spans="1:23" s="88" customFormat="1" ht="12.75">
      <c r="A2" s="170" t="s">
        <v>150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s="88" customFormat="1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</row>
    <row r="4" spans="17:23" s="88" customFormat="1" ht="13.5">
      <c r="Q4" s="104"/>
      <c r="R4" s="104"/>
      <c r="S4" s="104"/>
      <c r="T4" s="171" t="s">
        <v>136</v>
      </c>
      <c r="U4" s="171"/>
      <c r="V4" s="171"/>
      <c r="W4" s="171"/>
    </row>
    <row r="5" spans="1:24" s="87" customFormat="1" ht="29.25" customHeight="1">
      <c r="A5" s="172" t="s">
        <v>135</v>
      </c>
      <c r="B5" s="172"/>
      <c r="C5" s="172"/>
      <c r="D5" s="172" t="s">
        <v>134</v>
      </c>
      <c r="E5" s="172"/>
      <c r="F5" s="172"/>
      <c r="G5" s="172"/>
      <c r="H5" s="172" t="s">
        <v>133</v>
      </c>
      <c r="I5" s="172"/>
      <c r="J5" s="172"/>
      <c r="K5" s="172"/>
      <c r="L5" s="172" t="s">
        <v>132</v>
      </c>
      <c r="M5" s="172"/>
      <c r="N5" s="172"/>
      <c r="O5" s="172"/>
      <c r="P5" s="172" t="s">
        <v>131</v>
      </c>
      <c r="Q5" s="172"/>
      <c r="R5" s="172"/>
      <c r="S5" s="172"/>
      <c r="T5" s="172" t="s">
        <v>130</v>
      </c>
      <c r="U5" s="172"/>
      <c r="V5" s="172"/>
      <c r="W5" s="172"/>
      <c r="X5" s="153" t="s">
        <v>151</v>
      </c>
    </row>
    <row r="6" spans="1:24" s="87" customFormat="1" ht="51" customHeight="1">
      <c r="A6" s="172"/>
      <c r="B6" s="172"/>
      <c r="C6" s="172"/>
      <c r="D6" s="89" t="s">
        <v>129</v>
      </c>
      <c r="E6" s="89" t="s">
        <v>128</v>
      </c>
      <c r="F6" s="89" t="s">
        <v>127</v>
      </c>
      <c r="G6" s="89" t="s">
        <v>81</v>
      </c>
      <c r="H6" s="89" t="s">
        <v>129</v>
      </c>
      <c r="I6" s="89" t="s">
        <v>128</v>
      </c>
      <c r="J6" s="89" t="s">
        <v>127</v>
      </c>
      <c r="K6" s="89" t="s">
        <v>81</v>
      </c>
      <c r="L6" s="89" t="s">
        <v>129</v>
      </c>
      <c r="M6" s="89" t="s">
        <v>128</v>
      </c>
      <c r="N6" s="89" t="s">
        <v>127</v>
      </c>
      <c r="O6" s="89" t="s">
        <v>81</v>
      </c>
      <c r="P6" s="89" t="s">
        <v>129</v>
      </c>
      <c r="Q6" s="103" t="s">
        <v>128</v>
      </c>
      <c r="R6" s="103" t="s">
        <v>127</v>
      </c>
      <c r="S6" s="103" t="s">
        <v>81</v>
      </c>
      <c r="T6" s="89" t="s">
        <v>129</v>
      </c>
      <c r="U6" s="103" t="s">
        <v>128</v>
      </c>
      <c r="V6" s="103" t="s">
        <v>127</v>
      </c>
      <c r="W6" s="103" t="s">
        <v>81</v>
      </c>
      <c r="X6" s="154"/>
    </row>
    <row r="7" spans="1:24" s="100" customFormat="1" ht="13.5">
      <c r="A7" s="159" t="s">
        <v>126</v>
      </c>
      <c r="B7" s="160"/>
      <c r="C7" s="161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1"/>
      <c r="R7" s="101"/>
      <c r="S7" s="101"/>
      <c r="T7" s="102"/>
      <c r="U7" s="101"/>
      <c r="V7" s="101"/>
      <c r="W7" s="101"/>
      <c r="X7" s="102"/>
    </row>
    <row r="8" spans="1:25" s="88" customFormat="1" ht="12.75">
      <c r="A8" s="173" t="s">
        <v>125</v>
      </c>
      <c r="B8" s="174"/>
      <c r="C8" s="94" t="s">
        <v>107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7">
        <v>1</v>
      </c>
      <c r="Q8" s="128">
        <f>Sheet1!I155/1000000</f>
        <v>16.821399</v>
      </c>
      <c r="R8" s="128">
        <f>Q8</f>
        <v>16.821399</v>
      </c>
      <c r="S8" s="128">
        <f>Q8-R8</f>
        <v>0</v>
      </c>
      <c r="T8" s="97">
        <v>1</v>
      </c>
      <c r="U8" s="130">
        <v>16.821399</v>
      </c>
      <c r="V8" s="130">
        <v>16.821399</v>
      </c>
      <c r="W8" s="130">
        <v>0</v>
      </c>
      <c r="X8" s="149">
        <f>S8/Q8*100%</f>
        <v>0</v>
      </c>
      <c r="Y8" s="150">
        <f>X8*Q8</f>
        <v>0</v>
      </c>
    </row>
    <row r="9" spans="1:25" s="88" customFormat="1" ht="12.75">
      <c r="A9" s="175"/>
      <c r="B9" s="176"/>
      <c r="C9" s="91" t="s">
        <v>114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6"/>
      <c r="Q9" s="131"/>
      <c r="R9" s="131"/>
      <c r="S9" s="131"/>
      <c r="T9" s="96"/>
      <c r="U9" s="132"/>
      <c r="V9" s="132"/>
      <c r="W9" s="132"/>
      <c r="X9" s="89"/>
      <c r="Y9" s="151"/>
    </row>
    <row r="10" spans="1:25" s="88" customFormat="1" ht="15" customHeight="1">
      <c r="A10" s="173" t="s">
        <v>124</v>
      </c>
      <c r="B10" s="174"/>
      <c r="C10" s="94" t="s">
        <v>107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7">
        <v>93</v>
      </c>
      <c r="Q10" s="128">
        <f>Sheet1!R5/1000000</f>
        <v>10798.0509099</v>
      </c>
      <c r="R10" s="128">
        <f>Sheet1!S5/1000000</f>
        <v>10798.0509099</v>
      </c>
      <c r="S10" s="128">
        <f>Q10-R10</f>
        <v>0</v>
      </c>
      <c r="T10" s="97">
        <f aca="true" t="shared" si="0" ref="T10:W11">D10+H10+L10+P10</f>
        <v>93</v>
      </c>
      <c r="U10" s="128">
        <f t="shared" si="0"/>
        <v>10798.0509099</v>
      </c>
      <c r="V10" s="128">
        <f t="shared" si="0"/>
        <v>10798.0509099</v>
      </c>
      <c r="W10" s="128">
        <f t="shared" si="0"/>
        <v>0</v>
      </c>
      <c r="X10" s="149">
        <f>S10/Q10*100%</f>
        <v>0</v>
      </c>
      <c r="Y10" s="150">
        <f>X10*Q10</f>
        <v>0</v>
      </c>
    </row>
    <row r="11" spans="1:25" s="88" customFormat="1" ht="12.75">
      <c r="A11" s="175"/>
      <c r="B11" s="176"/>
      <c r="C11" s="91" t="s">
        <v>114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6">
        <v>1</v>
      </c>
      <c r="Q11" s="127">
        <f>Sheet1!H126/1000000</f>
        <v>1222.544858</v>
      </c>
      <c r="R11" s="127">
        <f>Sheet1!J126/1000000</f>
        <v>1221.673112</v>
      </c>
      <c r="S11" s="127">
        <f>Q11-R11</f>
        <v>0.8717460000000301</v>
      </c>
      <c r="T11" s="133">
        <f t="shared" si="0"/>
        <v>1</v>
      </c>
      <c r="U11" s="134">
        <f t="shared" si="0"/>
        <v>1222.544858</v>
      </c>
      <c r="V11" s="134">
        <f t="shared" si="0"/>
        <v>1221.673112</v>
      </c>
      <c r="W11" s="134">
        <f t="shared" si="0"/>
        <v>0.8717460000000301</v>
      </c>
      <c r="X11" s="149">
        <f>S11/Q11*100%</f>
        <v>0.0007130584978502524</v>
      </c>
      <c r="Y11" s="150">
        <f>X11*Q11</f>
        <v>0.8717460000000301</v>
      </c>
    </row>
    <row r="12" spans="1:25" s="88" customFormat="1" ht="12.75">
      <c r="A12" s="173" t="s">
        <v>123</v>
      </c>
      <c r="B12" s="174"/>
      <c r="C12" s="94" t="s">
        <v>107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7"/>
      <c r="Q12" s="128"/>
      <c r="R12" s="128"/>
      <c r="S12" s="128"/>
      <c r="T12" s="97"/>
      <c r="U12" s="130"/>
      <c r="V12" s="130"/>
      <c r="W12" s="130"/>
      <c r="X12" s="89"/>
      <c r="Y12" s="151"/>
    </row>
    <row r="13" spans="1:25" s="88" customFormat="1" ht="12.75">
      <c r="A13" s="175"/>
      <c r="B13" s="176"/>
      <c r="C13" s="91" t="s">
        <v>114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6">
        <v>6</v>
      </c>
      <c r="Q13" s="127">
        <f>Sheet1!R2/1000000+30054</f>
        <v>33867.133499999996</v>
      </c>
      <c r="R13" s="127">
        <f>Sheet1!S2/1000000+29616</f>
        <v>33404.89248</v>
      </c>
      <c r="S13" s="127">
        <f>Q13-R13</f>
        <v>462.241019999994</v>
      </c>
      <c r="T13" s="96">
        <f>P13</f>
        <v>6</v>
      </c>
      <c r="U13" s="127">
        <f>Q13</f>
        <v>33867.133499999996</v>
      </c>
      <c r="V13" s="127">
        <f>R13</f>
        <v>33404.89248</v>
      </c>
      <c r="W13" s="127">
        <f>U13-V13</f>
        <v>462.241019999994</v>
      </c>
      <c r="X13" s="149">
        <f>S13/Q13*100%</f>
        <v>0.013648660876480558</v>
      </c>
      <c r="Y13" s="150">
        <f>X13*Q13</f>
        <v>462.241019999994</v>
      </c>
    </row>
    <row r="14" spans="1:25" s="88" customFormat="1" ht="12.75">
      <c r="A14" s="173" t="s">
        <v>122</v>
      </c>
      <c r="B14" s="174"/>
      <c r="C14" s="94" t="s">
        <v>107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7">
        <f>Sheet1!P6</f>
        <v>10</v>
      </c>
      <c r="Q14" s="128">
        <f>Sheet1!R6/1000000</f>
        <v>16441.619602</v>
      </c>
      <c r="R14" s="128">
        <f>Sheet1!S6/1000000</f>
        <v>16441.618269</v>
      </c>
      <c r="S14" s="128">
        <f>Q14-R14</f>
        <v>0.0013330000001587905</v>
      </c>
      <c r="T14" s="97"/>
      <c r="U14" s="130"/>
      <c r="V14" s="130"/>
      <c r="W14" s="130"/>
      <c r="X14" s="149">
        <f>S14/Q14*100%</f>
        <v>8.107473791673426E-08</v>
      </c>
      <c r="Y14" s="150">
        <f>X14*Q14</f>
        <v>0.0013330000001587905</v>
      </c>
    </row>
    <row r="15" spans="1:25" s="88" customFormat="1" ht="12.75">
      <c r="A15" s="175"/>
      <c r="B15" s="176"/>
      <c r="C15" s="91" t="s">
        <v>114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6">
        <f>Sheet1!P3-P14</f>
        <v>38</v>
      </c>
      <c r="Q15" s="127">
        <f>Sheet1!R3/1000000-Q14</f>
        <v>188705.250162</v>
      </c>
      <c r="R15" s="127">
        <f>Sheet1!S3/1000000-R14</f>
        <v>188431.892506</v>
      </c>
      <c r="S15" s="127">
        <f>Q15-R15</f>
        <v>273.3576560000074</v>
      </c>
      <c r="T15" s="96">
        <f>D15+H15+L15+P15</f>
        <v>38</v>
      </c>
      <c r="U15" s="127">
        <f>E15+I15+M15+Q15</f>
        <v>188705.250162</v>
      </c>
      <c r="V15" s="127">
        <f>F15+J15+N15+R15</f>
        <v>188431.892506</v>
      </c>
      <c r="W15" s="127">
        <f>G15+K15+O15+S15</f>
        <v>273.3576560000074</v>
      </c>
      <c r="X15" s="149">
        <f>S15/Q15*100%</f>
        <v>0.0014485959228232115</v>
      </c>
      <c r="Y15" s="150">
        <f>X15*Q15</f>
        <v>273.3576560000074</v>
      </c>
    </row>
    <row r="16" spans="1:25" s="88" customFormat="1" ht="12.75">
      <c r="A16" s="167" t="s">
        <v>121</v>
      </c>
      <c r="B16" s="168"/>
      <c r="C16" s="89" t="s">
        <v>107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7"/>
      <c r="Q16" s="128"/>
      <c r="R16" s="128"/>
      <c r="S16" s="129"/>
      <c r="T16" s="135"/>
      <c r="U16" s="136"/>
      <c r="V16" s="136"/>
      <c r="W16" s="136"/>
      <c r="X16" s="89"/>
      <c r="Y16" s="151"/>
    </row>
    <row r="17" spans="1:25" s="87" customFormat="1" ht="12.75">
      <c r="A17" s="155" t="s">
        <v>120</v>
      </c>
      <c r="B17" s="156"/>
      <c r="C17" s="117" t="s">
        <v>107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37">
        <f>P10+P12+P14+P16+P8</f>
        <v>104</v>
      </c>
      <c r="Q17" s="124">
        <f>Q10+Q12+Q14+Q16</f>
        <v>27239.670511899996</v>
      </c>
      <c r="R17" s="124">
        <f>R10+R12+R14+R16</f>
        <v>27239.669178899996</v>
      </c>
      <c r="S17" s="124">
        <f>S10+S12+S14+S16</f>
        <v>0.0013330000001587905</v>
      </c>
      <c r="T17" s="137">
        <f aca="true" t="shared" si="1" ref="T17:V18">P17</f>
        <v>104</v>
      </c>
      <c r="U17" s="138">
        <f t="shared" si="1"/>
        <v>27239.670511899996</v>
      </c>
      <c r="V17" s="138">
        <f t="shared" si="1"/>
        <v>27239.669178899996</v>
      </c>
      <c r="W17" s="138">
        <f>W10</f>
        <v>0</v>
      </c>
      <c r="X17" s="149">
        <f>S17/Q17*100%</f>
        <v>4.893598105661566E-08</v>
      </c>
      <c r="Y17" s="150">
        <f>X17*Q17</f>
        <v>0.0013330000001587905</v>
      </c>
    </row>
    <row r="18" spans="1:25" s="87" customFormat="1" ht="12.75">
      <c r="A18" s="157"/>
      <c r="B18" s="158"/>
      <c r="C18" s="105" t="s">
        <v>114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39">
        <f>P15+P11+P13</f>
        <v>45</v>
      </c>
      <c r="Q18" s="125">
        <f>Q15+Q11+Q13</f>
        <v>223794.92852000002</v>
      </c>
      <c r="R18" s="125">
        <f>R15+R11+R13</f>
        <v>223058.458098</v>
      </c>
      <c r="S18" s="125">
        <f>S15+S11+S13</f>
        <v>736.4704220000015</v>
      </c>
      <c r="T18" s="139">
        <f t="shared" si="1"/>
        <v>45</v>
      </c>
      <c r="U18" s="125">
        <f t="shared" si="1"/>
        <v>223794.92852000002</v>
      </c>
      <c r="V18" s="125">
        <f t="shared" si="1"/>
        <v>223058.458098</v>
      </c>
      <c r="W18" s="125">
        <f>U18-V18</f>
        <v>736.4704220000131</v>
      </c>
      <c r="X18" s="149">
        <f>S18/Q18*100%</f>
        <v>0.0032908271285253224</v>
      </c>
      <c r="Y18" s="150">
        <f>X18*Q18</f>
        <v>736.4704220000015</v>
      </c>
    </row>
    <row r="19" spans="1:25" s="100" customFormat="1" ht="26.25" customHeight="1">
      <c r="A19" s="159" t="s">
        <v>119</v>
      </c>
      <c r="B19" s="160"/>
      <c r="C19" s="16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1"/>
      <c r="R19" s="101"/>
      <c r="S19" s="101"/>
      <c r="T19" s="102"/>
      <c r="U19" s="101"/>
      <c r="V19" s="101"/>
      <c r="W19" s="101"/>
      <c r="X19" s="102"/>
      <c r="Y19" s="152"/>
    </row>
    <row r="20" spans="1:25" s="88" customFormat="1" ht="12.75">
      <c r="A20" s="162" t="s">
        <v>118</v>
      </c>
      <c r="B20" s="165" t="s">
        <v>108</v>
      </c>
      <c r="C20" s="94" t="s">
        <v>107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7"/>
      <c r="Q20" s="93"/>
      <c r="R20" s="93"/>
      <c r="S20" s="93"/>
      <c r="T20" s="97"/>
      <c r="U20" s="93"/>
      <c r="V20" s="93"/>
      <c r="W20" s="93"/>
      <c r="X20" s="89"/>
      <c r="Y20" s="151"/>
    </row>
    <row r="21" spans="1:25" s="88" customFormat="1" ht="12.75">
      <c r="A21" s="163"/>
      <c r="B21" s="166"/>
      <c r="C21" s="99" t="s">
        <v>114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40">
        <v>12</v>
      </c>
      <c r="Q21" s="126">
        <f>92204.426098+30054</f>
        <v>122258.426098</v>
      </c>
      <c r="R21" s="126">
        <f>92097.043806+29616</f>
        <v>121713.043806</v>
      </c>
      <c r="S21" s="127">
        <f>Q21-R21</f>
        <v>545.3822919999948</v>
      </c>
      <c r="T21" s="98">
        <v>12</v>
      </c>
      <c r="U21" s="126">
        <f>92204.426098+30054</f>
        <v>122258.426098</v>
      </c>
      <c r="V21" s="126">
        <f>92097.043806+29616</f>
        <v>121713.043806</v>
      </c>
      <c r="W21" s="127">
        <f>U21-V21</f>
        <v>545.3822919999948</v>
      </c>
      <c r="X21" s="149">
        <f>S21/Q21*100%</f>
        <v>0.004460897374572995</v>
      </c>
      <c r="Y21" s="150">
        <f>X21*Q21</f>
        <v>545.3822919999948</v>
      </c>
    </row>
    <row r="22" spans="1:25" s="88" customFormat="1" ht="12.75">
      <c r="A22" s="164"/>
      <c r="B22" s="92" t="s">
        <v>110</v>
      </c>
      <c r="C22" s="91" t="s">
        <v>107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141"/>
      <c r="Q22" s="127"/>
      <c r="R22" s="127"/>
      <c r="S22" s="127"/>
      <c r="T22" s="96"/>
      <c r="U22" s="127"/>
      <c r="V22" s="127"/>
      <c r="W22" s="127"/>
      <c r="X22" s="89"/>
      <c r="Y22" s="151"/>
    </row>
    <row r="23" spans="1:25" s="88" customFormat="1" ht="12.75">
      <c r="A23" s="162" t="s">
        <v>117</v>
      </c>
      <c r="B23" s="165" t="s">
        <v>108</v>
      </c>
      <c r="C23" s="94" t="s">
        <v>107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7"/>
      <c r="Q23" s="128"/>
      <c r="R23" s="128"/>
      <c r="S23" s="128"/>
      <c r="T23" s="97"/>
      <c r="U23" s="128"/>
      <c r="V23" s="128"/>
      <c r="W23" s="128"/>
      <c r="X23" s="89"/>
      <c r="Y23" s="151"/>
    </row>
    <row r="24" spans="1:25" s="88" customFormat="1" ht="12.75">
      <c r="A24" s="163"/>
      <c r="B24" s="166"/>
      <c r="C24" s="99" t="s">
        <v>114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40"/>
      <c r="Q24" s="126"/>
      <c r="R24" s="126"/>
      <c r="S24" s="126"/>
      <c r="T24" s="98"/>
      <c r="U24" s="126"/>
      <c r="V24" s="126"/>
      <c r="W24" s="126"/>
      <c r="X24" s="89"/>
      <c r="Y24" s="151"/>
    </row>
    <row r="25" spans="1:25" s="88" customFormat="1" ht="12.75">
      <c r="A25" s="164"/>
      <c r="B25" s="92" t="s">
        <v>110</v>
      </c>
      <c r="C25" s="91" t="s">
        <v>107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141"/>
      <c r="Q25" s="127"/>
      <c r="R25" s="127"/>
      <c r="S25" s="127"/>
      <c r="T25" s="96"/>
      <c r="U25" s="127"/>
      <c r="V25" s="127"/>
      <c r="W25" s="127"/>
      <c r="X25" s="89"/>
      <c r="Y25" s="151"/>
    </row>
    <row r="26" spans="1:25" s="88" customFormat="1" ht="12.75">
      <c r="A26" s="162" t="s">
        <v>116</v>
      </c>
      <c r="B26" s="95" t="s">
        <v>108</v>
      </c>
      <c r="C26" s="94" t="s">
        <v>107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7">
        <f>Sheet1!M4</f>
        <v>100</v>
      </c>
      <c r="Q26" s="128">
        <f>Q17-Q33</f>
        <v>27051.728053899995</v>
      </c>
      <c r="R26" s="128">
        <f>R17-R33</f>
        <v>27051.726720899995</v>
      </c>
      <c r="S26" s="128">
        <f>Q26-R26</f>
        <v>0.0013330000001587905</v>
      </c>
      <c r="T26" s="97">
        <f>D26+H26+L26+P26</f>
        <v>100</v>
      </c>
      <c r="U26" s="128">
        <f>E26+I26+M26+Q26</f>
        <v>27051.728053899995</v>
      </c>
      <c r="V26" s="128">
        <f>F26+J26+N26+R26</f>
        <v>27051.726720899995</v>
      </c>
      <c r="W26" s="128">
        <f>G26+K26+O26+S26</f>
        <v>0.0013330000001587905</v>
      </c>
      <c r="X26" s="149">
        <f>S26/Q26*100%</f>
        <v>4.927596482941187E-08</v>
      </c>
      <c r="Y26" s="150">
        <f>X26*Q26</f>
        <v>0.0013330000001587905</v>
      </c>
    </row>
    <row r="27" spans="1:25" s="88" customFormat="1" ht="12.75">
      <c r="A27" s="164"/>
      <c r="B27" s="92" t="s">
        <v>110</v>
      </c>
      <c r="C27" s="91" t="s">
        <v>107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141"/>
      <c r="Q27" s="127"/>
      <c r="R27" s="127"/>
      <c r="S27" s="127"/>
      <c r="T27" s="96"/>
      <c r="U27" s="127"/>
      <c r="V27" s="127"/>
      <c r="W27" s="127"/>
      <c r="X27" s="89"/>
      <c r="Y27" s="151"/>
    </row>
    <row r="28" spans="1:25" s="88" customFormat="1" ht="12.75">
      <c r="A28" s="162" t="s">
        <v>115</v>
      </c>
      <c r="B28" s="165" t="s">
        <v>108</v>
      </c>
      <c r="C28" s="94" t="s">
        <v>107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7"/>
      <c r="Q28" s="128"/>
      <c r="R28" s="128"/>
      <c r="S28" s="128"/>
      <c r="T28" s="97"/>
      <c r="U28" s="128"/>
      <c r="V28" s="128"/>
      <c r="W28" s="128"/>
      <c r="X28" s="89"/>
      <c r="Y28" s="151"/>
    </row>
    <row r="29" spans="1:25" s="88" customFormat="1" ht="12.75">
      <c r="A29" s="163"/>
      <c r="B29" s="166"/>
      <c r="C29" s="99" t="s">
        <v>114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40">
        <v>33</v>
      </c>
      <c r="Q29" s="126">
        <f>Q18-Q21</f>
        <v>101536.50242200002</v>
      </c>
      <c r="R29" s="126">
        <f>R18-R21</f>
        <v>101345.414292</v>
      </c>
      <c r="S29" s="126">
        <f>Q29-R29</f>
        <v>191.08813000001828</v>
      </c>
      <c r="T29" s="98">
        <f>P29</f>
        <v>33</v>
      </c>
      <c r="U29" s="126">
        <f>Q29</f>
        <v>101536.50242200002</v>
      </c>
      <c r="V29" s="126">
        <f>R29</f>
        <v>101345.414292</v>
      </c>
      <c r="W29" s="126">
        <f>U29-V29</f>
        <v>191.08813000001828</v>
      </c>
      <c r="X29" s="149">
        <f>S29/Q29*100%</f>
        <v>0.0018819648642793413</v>
      </c>
      <c r="Y29" s="150">
        <f>X29*Q29</f>
        <v>191.08813000001828</v>
      </c>
    </row>
    <row r="30" spans="1:25" s="88" customFormat="1" ht="12.75">
      <c r="A30" s="164"/>
      <c r="B30" s="92" t="s">
        <v>110</v>
      </c>
      <c r="C30" s="91" t="s">
        <v>107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141"/>
      <c r="Q30" s="127"/>
      <c r="R30" s="127"/>
      <c r="S30" s="127"/>
      <c r="T30" s="96"/>
      <c r="U30" s="127"/>
      <c r="V30" s="127"/>
      <c r="W30" s="127"/>
      <c r="X30" s="89"/>
      <c r="Y30" s="151"/>
    </row>
    <row r="31" spans="1:25" s="88" customFormat="1" ht="12.75">
      <c r="A31" s="162" t="s">
        <v>113</v>
      </c>
      <c r="B31" s="95" t="s">
        <v>108</v>
      </c>
      <c r="C31" s="94" t="s">
        <v>107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142"/>
      <c r="Q31" s="128"/>
      <c r="R31" s="128"/>
      <c r="S31" s="128"/>
      <c r="T31" s="97"/>
      <c r="U31" s="128"/>
      <c r="V31" s="128"/>
      <c r="W31" s="128"/>
      <c r="X31" s="89"/>
      <c r="Y31" s="151"/>
    </row>
    <row r="32" spans="1:25" s="88" customFormat="1" ht="12.75">
      <c r="A32" s="164"/>
      <c r="B32" s="92" t="s">
        <v>110</v>
      </c>
      <c r="C32" s="91" t="s">
        <v>107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41"/>
      <c r="Q32" s="127"/>
      <c r="R32" s="127"/>
      <c r="S32" s="127"/>
      <c r="T32" s="96"/>
      <c r="U32" s="127"/>
      <c r="V32" s="127"/>
      <c r="W32" s="127"/>
      <c r="X32" s="89"/>
      <c r="Y32" s="151"/>
    </row>
    <row r="33" spans="1:25" s="88" customFormat="1" ht="12.75">
      <c r="A33" s="90" t="s">
        <v>112</v>
      </c>
      <c r="B33" s="90" t="s">
        <v>108</v>
      </c>
      <c r="C33" s="89" t="s">
        <v>107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7">
        <v>4</v>
      </c>
      <c r="Q33" s="128">
        <f>Sheet1!N5/1000000</f>
        <v>187.942458</v>
      </c>
      <c r="R33" s="128">
        <f>Sheet1!O5/1000000</f>
        <v>187.942458</v>
      </c>
      <c r="S33" s="128">
        <f>Q33-R33</f>
        <v>0</v>
      </c>
      <c r="T33" s="97">
        <f>D33+H33+L33+P33</f>
        <v>4</v>
      </c>
      <c r="U33" s="128">
        <f>E33+I33+M33+Q33</f>
        <v>187.942458</v>
      </c>
      <c r="V33" s="128">
        <f>F33+J33+N33+R33</f>
        <v>187.942458</v>
      </c>
      <c r="W33" s="128">
        <f>G33+K33+O33+S33</f>
        <v>0</v>
      </c>
      <c r="X33" s="149">
        <f>S33/Q33*100%</f>
        <v>0</v>
      </c>
      <c r="Y33" s="150">
        <f>X33*Q33</f>
        <v>0</v>
      </c>
    </row>
    <row r="34" spans="1:25" s="88" customFormat="1" ht="12.75">
      <c r="A34" s="162" t="s">
        <v>111</v>
      </c>
      <c r="B34" s="95" t="s">
        <v>108</v>
      </c>
      <c r="C34" s="94" t="s">
        <v>107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143"/>
      <c r="Q34" s="128"/>
      <c r="R34" s="128"/>
      <c r="S34" s="128"/>
      <c r="T34" s="94"/>
      <c r="U34" s="128"/>
      <c r="V34" s="128"/>
      <c r="W34" s="128"/>
      <c r="X34" s="89"/>
      <c r="Y34" s="151"/>
    </row>
    <row r="35" spans="1:25" s="88" customFormat="1" ht="12.75">
      <c r="A35" s="164"/>
      <c r="B35" s="92" t="s">
        <v>110</v>
      </c>
      <c r="C35" s="91" t="s">
        <v>107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144"/>
      <c r="Q35" s="127"/>
      <c r="R35" s="127"/>
      <c r="S35" s="127"/>
      <c r="T35" s="91"/>
      <c r="U35" s="127"/>
      <c r="V35" s="127"/>
      <c r="W35" s="127"/>
      <c r="X35" s="89"/>
      <c r="Y35" s="151"/>
    </row>
    <row r="36" spans="1:25" s="88" customFormat="1" ht="38.25" customHeight="1">
      <c r="A36" s="90" t="s">
        <v>109</v>
      </c>
      <c r="B36" s="90" t="s">
        <v>108</v>
      </c>
      <c r="C36" s="89" t="s">
        <v>107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03"/>
      <c r="Q36" s="129"/>
      <c r="R36" s="129"/>
      <c r="S36" s="129"/>
      <c r="T36" s="89"/>
      <c r="U36" s="129"/>
      <c r="V36" s="129"/>
      <c r="W36" s="129"/>
      <c r="X36" s="89"/>
      <c r="Y36" s="151"/>
    </row>
    <row r="37" spans="1:25" s="87" customFormat="1" ht="12.75">
      <c r="A37" s="155" t="s">
        <v>106</v>
      </c>
      <c r="B37" s="156"/>
      <c r="C37" s="117" t="s">
        <v>107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07">
        <f>P33+P26</f>
        <v>104</v>
      </c>
      <c r="Q37" s="124">
        <f aca="true" t="shared" si="2" ref="Q37:W37">Q33+Q26</f>
        <v>27239.670511899996</v>
      </c>
      <c r="R37" s="124">
        <f t="shared" si="2"/>
        <v>27239.669178899996</v>
      </c>
      <c r="S37" s="124">
        <f t="shared" si="2"/>
        <v>0.0013330000001587905</v>
      </c>
      <c r="T37" s="107">
        <f t="shared" si="2"/>
        <v>104</v>
      </c>
      <c r="U37" s="124">
        <f t="shared" si="2"/>
        <v>27239.670511899996</v>
      </c>
      <c r="V37" s="124">
        <f t="shared" si="2"/>
        <v>27239.669178899996</v>
      </c>
      <c r="W37" s="124">
        <f t="shared" si="2"/>
        <v>0.0013330000001587905</v>
      </c>
      <c r="X37" s="149">
        <f>S37/Q37*100%</f>
        <v>4.893598105661566E-08</v>
      </c>
      <c r="Y37" s="150">
        <f>X37*Q37</f>
        <v>0.0013330000001587905</v>
      </c>
    </row>
    <row r="38" spans="1:25" s="87" customFormat="1" ht="12.75">
      <c r="A38" s="157"/>
      <c r="B38" s="158"/>
      <c r="C38" s="105" t="s">
        <v>114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6">
        <f>P29+P21</f>
        <v>45</v>
      </c>
      <c r="Q38" s="125">
        <f aca="true" t="shared" si="3" ref="Q38:W38">Q29+Q21</f>
        <v>223794.92852000002</v>
      </c>
      <c r="R38" s="125">
        <f t="shared" si="3"/>
        <v>223058.458098</v>
      </c>
      <c r="S38" s="125">
        <f t="shared" si="3"/>
        <v>736.4704220000131</v>
      </c>
      <c r="T38" s="106">
        <f t="shared" si="3"/>
        <v>45</v>
      </c>
      <c r="U38" s="125">
        <f t="shared" si="3"/>
        <v>223794.92852000002</v>
      </c>
      <c r="V38" s="125">
        <f t="shared" si="3"/>
        <v>223058.458098</v>
      </c>
      <c r="W38" s="125">
        <f t="shared" si="3"/>
        <v>736.4704220000131</v>
      </c>
      <c r="X38" s="149">
        <f>S38/Q38*100%</f>
        <v>0.0032908271285253744</v>
      </c>
      <c r="Y38" s="150">
        <f>X38*Q38</f>
        <v>736.4704220000131</v>
      </c>
    </row>
    <row r="40" ht="14.25">
      <c r="S40" s="146"/>
    </row>
    <row r="41" spans="16:20" ht="14.25">
      <c r="P41" s="147"/>
      <c r="Q41" s="148"/>
      <c r="R41" s="148"/>
      <c r="S41" s="148"/>
      <c r="T41" s="147"/>
    </row>
  </sheetData>
  <sheetProtection/>
  <mergeCells count="28">
    <mergeCell ref="L5:O5"/>
    <mergeCell ref="A14:B15"/>
    <mergeCell ref="P5:S5"/>
    <mergeCell ref="T5:W5"/>
    <mergeCell ref="A7:C7"/>
    <mergeCell ref="A8:B9"/>
    <mergeCell ref="A12:B13"/>
    <mergeCell ref="A10:B11"/>
    <mergeCell ref="B28:B29"/>
    <mergeCell ref="A31:A32"/>
    <mergeCell ref="A34:A35"/>
    <mergeCell ref="A16:B16"/>
    <mergeCell ref="U1:W1"/>
    <mergeCell ref="A2:W3"/>
    <mergeCell ref="T4:W4"/>
    <mergeCell ref="A5:C6"/>
    <mergeCell ref="D5:G5"/>
    <mergeCell ref="H5:K5"/>
    <mergeCell ref="X5:X6"/>
    <mergeCell ref="A17:B18"/>
    <mergeCell ref="A37:B38"/>
    <mergeCell ref="A19:C19"/>
    <mergeCell ref="A20:A22"/>
    <mergeCell ref="B20:B21"/>
    <mergeCell ref="A23:A25"/>
    <mergeCell ref="B23:B24"/>
    <mergeCell ref="A26:A27"/>
    <mergeCell ref="A28:A30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3"/>
  <sheetViews>
    <sheetView view="pageBreakPreview" zoomScale="70" zoomScaleSheetLayoutView="70" zoomScalePageLayoutView="0" workbookViewId="0" topLeftCell="A1">
      <selection activeCell="L23" sqref="L23"/>
    </sheetView>
  </sheetViews>
  <sheetFormatPr defaultColWidth="8.75390625" defaultRowHeight="15.75"/>
  <cols>
    <col min="1" max="1" width="4.875" style="6" customWidth="1"/>
    <col min="2" max="2" width="50.125" style="4" customWidth="1"/>
    <col min="3" max="3" width="9.75390625" style="9" customWidth="1"/>
    <col min="4" max="4" width="5.00390625" style="9" customWidth="1"/>
    <col min="5" max="5" width="11.875" style="41" hidden="1" customWidth="1"/>
    <col min="6" max="6" width="10.50390625" style="6" customWidth="1"/>
    <col min="7" max="7" width="6.75390625" style="6" customWidth="1"/>
    <col min="8" max="8" width="16.125" style="4" customWidth="1"/>
    <col min="9" max="9" width="20.375" style="4" customWidth="1"/>
    <col min="10" max="10" width="17.25390625" style="4" customWidth="1"/>
    <col min="11" max="11" width="12.75390625" style="4" customWidth="1"/>
    <col min="12" max="12" width="18.00390625" style="4" customWidth="1"/>
    <col min="13" max="13" width="8.125" style="4" customWidth="1"/>
    <col min="14" max="14" width="15.875" style="4" customWidth="1"/>
    <col min="15" max="15" width="16.75390625" style="4" customWidth="1"/>
    <col min="16" max="16" width="5.875" style="4" customWidth="1"/>
    <col min="17" max="17" width="9.50390625" style="4" customWidth="1"/>
    <col min="18" max="19" width="16.25390625" style="4" customWidth="1"/>
    <col min="20" max="16384" width="8.75390625" style="4" customWidth="1"/>
  </cols>
  <sheetData>
    <row r="1" spans="12:17" ht="24.75" customHeight="1">
      <c r="L1" s="6" t="s">
        <v>105</v>
      </c>
      <c r="M1" s="3"/>
      <c r="N1" s="70">
        <f>SUM(N2:N5)</f>
        <v>220997420430.9</v>
      </c>
      <c r="O1" s="70">
        <f>SUM(O2:O5)</f>
        <v>220698948675.9</v>
      </c>
      <c r="P1" s="180">
        <f>N1-O1</f>
        <v>298471755</v>
      </c>
      <c r="Q1" s="181"/>
    </row>
    <row r="2" spans="12:19" ht="20.25" customHeight="1">
      <c r="L2" s="6" t="s">
        <v>91</v>
      </c>
      <c r="M2" s="84">
        <f>COUNTIF(F7:F177,"ĐTRRQM")</f>
        <v>9</v>
      </c>
      <c r="N2" s="85">
        <f>SUMIF(F7:F202,"ĐTRRQM",I7:I202)</f>
        <v>92204426098</v>
      </c>
      <c r="O2" s="85">
        <f>SUMIF(F7:F202,"ĐTRRQM",J7:J202)</f>
        <v>92097043806</v>
      </c>
      <c r="P2" s="81">
        <f>COUNTIF(D7:D201,"HH")</f>
        <v>3</v>
      </c>
      <c r="Q2" s="86" t="s">
        <v>139</v>
      </c>
      <c r="R2" s="82">
        <f>SUMIF(D7:D201,"HH",I7:I201)</f>
        <v>3813133500</v>
      </c>
      <c r="S2" s="82">
        <f>SUMIF(D7:D201,"HH",J7:J201)</f>
        <v>3788892480</v>
      </c>
    </row>
    <row r="3" spans="12:19" ht="30" customHeight="1">
      <c r="L3" s="6" t="s">
        <v>92</v>
      </c>
      <c r="M3" s="56">
        <f>COUNTIF(F7:F201,"CHCTQM")</f>
        <v>31</v>
      </c>
      <c r="N3" s="82">
        <f>SUMIF(F8:F201,"CHCTQM",I8:I201)</f>
        <v>96993049862</v>
      </c>
      <c r="O3" s="82">
        <f>SUMIF(F8:F201,"CHCTQM",J8:J201)</f>
        <v>96801962292</v>
      </c>
      <c r="P3" s="81">
        <f>COUNTIF(D7:D201,"XL")</f>
        <v>48</v>
      </c>
      <c r="Q3" s="5" t="s">
        <v>9</v>
      </c>
      <c r="R3" s="82">
        <f>SUMIF(D7:D201,"XL",I7:I201)</f>
        <v>205146869764</v>
      </c>
      <c r="S3" s="82">
        <f>SUMIF(D7:D201,"XL",J7:J201)</f>
        <v>204873510775</v>
      </c>
    </row>
    <row r="4" spans="12:19" ht="20.25" customHeight="1">
      <c r="L4" s="6" t="s">
        <v>93</v>
      </c>
      <c r="M4" s="56">
        <f>COUNTIF(F7:F202,"CĐTRG")</f>
        <v>100</v>
      </c>
      <c r="N4" s="82">
        <f>SUMIF(F7:F204,"CĐTRG",I7:I204)</f>
        <v>31612002012.9</v>
      </c>
      <c r="O4" s="82">
        <f>SUMIF(F7:F204,"CĐTRG",J7:J204)</f>
        <v>31612000119.9</v>
      </c>
      <c r="P4" s="81">
        <f>COUNTIF(D7:D201,"TV")</f>
        <v>94</v>
      </c>
      <c r="Q4" s="5" t="s">
        <v>90</v>
      </c>
      <c r="R4" s="82">
        <f>SUMIF(D8:D202,"TV",I8:I202)</f>
        <v>12020595767.9</v>
      </c>
      <c r="S4" s="82">
        <f>SUMIF(D7:D201,"TV",J7:J201)</f>
        <v>12019724021.9</v>
      </c>
    </row>
    <row r="5" spans="12:19" ht="20.25" customHeight="1">
      <c r="L5" s="6" t="s">
        <v>18</v>
      </c>
      <c r="M5" s="56">
        <f>COUNTIF(F7:F203,"TTH")</f>
        <v>6</v>
      </c>
      <c r="N5" s="82">
        <f>SUMIF(F7:F201,"TTH",I7:I201)</f>
        <v>187942458</v>
      </c>
      <c r="O5" s="82">
        <f>SUMIF(F7:F201,"TTH",J7:J201)</f>
        <v>187942458</v>
      </c>
      <c r="P5" s="108"/>
      <c r="Q5" s="6"/>
      <c r="R5" s="83">
        <f>R4-I126</f>
        <v>10798050909.9</v>
      </c>
      <c r="S5" s="83">
        <f>S4-J126</f>
        <v>10798050909.9</v>
      </c>
    </row>
    <row r="6" spans="1:19" s="2" customFormat="1" ht="47.25">
      <c r="A6" s="1" t="s">
        <v>0</v>
      </c>
      <c r="B6" s="1" t="s">
        <v>1</v>
      </c>
      <c r="C6" s="1" t="s">
        <v>4</v>
      </c>
      <c r="D6" s="1"/>
      <c r="E6" s="1" t="s">
        <v>5</v>
      </c>
      <c r="F6" s="1" t="s">
        <v>87</v>
      </c>
      <c r="G6" s="1"/>
      <c r="H6" s="1" t="s">
        <v>2</v>
      </c>
      <c r="I6" s="1" t="s">
        <v>17</v>
      </c>
      <c r="J6" s="1" t="s">
        <v>79</v>
      </c>
      <c r="K6" s="1" t="s">
        <v>81</v>
      </c>
      <c r="P6" s="56">
        <f>COUNTIF(G7:G201,"CTXL")</f>
        <v>10</v>
      </c>
      <c r="Q6" s="1" t="s">
        <v>146</v>
      </c>
      <c r="R6" s="82">
        <f>SUMIF(G7:G201,"CTXL",I7:I201)</f>
        <v>16441619602</v>
      </c>
      <c r="S6" s="82">
        <f>SUMIF(G7:G201,"CTXL",J7:J201)</f>
        <v>16441618269</v>
      </c>
    </row>
    <row r="7" spans="1:15" s="7" customFormat="1" ht="15.75">
      <c r="A7" s="10">
        <v>1</v>
      </c>
      <c r="B7" s="11" t="s">
        <v>3</v>
      </c>
      <c r="C7" s="182" t="s">
        <v>20</v>
      </c>
      <c r="D7" s="12"/>
      <c r="E7" s="34">
        <v>2300000000</v>
      </c>
      <c r="F7" s="10"/>
      <c r="G7" s="10"/>
      <c r="H7" s="11"/>
      <c r="I7" s="11"/>
      <c r="J7" s="11"/>
      <c r="K7" s="11"/>
      <c r="M7" s="60">
        <f>36/40</f>
        <v>0.9</v>
      </c>
      <c r="N7" s="60"/>
      <c r="O7" s="60"/>
    </row>
    <row r="8" spans="1:11" ht="15.75">
      <c r="A8" s="13"/>
      <c r="B8" s="14" t="s">
        <v>6</v>
      </c>
      <c r="C8" s="183"/>
      <c r="D8" s="15" t="s">
        <v>88</v>
      </c>
      <c r="E8" s="35"/>
      <c r="F8" s="13" t="s">
        <v>83</v>
      </c>
      <c r="G8" s="13"/>
      <c r="H8" s="16">
        <v>2006192083</v>
      </c>
      <c r="I8" s="16">
        <v>2006192083</v>
      </c>
      <c r="J8" s="16">
        <v>2000903372</v>
      </c>
      <c r="K8" s="16">
        <f>I8-J8</f>
        <v>5288711</v>
      </c>
    </row>
    <row r="9" spans="1:11" ht="15.75">
      <c r="A9" s="13"/>
      <c r="B9" s="14" t="s">
        <v>75</v>
      </c>
      <c r="C9" s="183"/>
      <c r="D9" s="15" t="s">
        <v>89</v>
      </c>
      <c r="E9" s="35"/>
      <c r="F9" s="13" t="s">
        <v>84</v>
      </c>
      <c r="G9" s="13"/>
      <c r="H9" s="16">
        <v>65903410</v>
      </c>
      <c r="I9" s="16">
        <v>65903410</v>
      </c>
      <c r="J9" s="16">
        <v>65903410</v>
      </c>
      <c r="K9" s="16">
        <f aca="true" t="shared" si="0" ref="K9:K75">I9-J9</f>
        <v>0</v>
      </c>
    </row>
    <row r="10" spans="1:11" ht="15.75">
      <c r="A10" s="17"/>
      <c r="B10" s="18" t="s">
        <v>78</v>
      </c>
      <c r="C10" s="184"/>
      <c r="D10" s="19" t="s">
        <v>89</v>
      </c>
      <c r="E10" s="36"/>
      <c r="F10" s="13" t="s">
        <v>84</v>
      </c>
      <c r="G10" s="22"/>
      <c r="H10" s="20">
        <v>5200050</v>
      </c>
      <c r="I10" s="20">
        <v>5200050</v>
      </c>
      <c r="J10" s="20">
        <v>5200050</v>
      </c>
      <c r="K10" s="20">
        <f t="shared" si="0"/>
        <v>0</v>
      </c>
    </row>
    <row r="11" spans="1:11" s="7" customFormat="1" ht="31.5">
      <c r="A11" s="10">
        <v>2</v>
      </c>
      <c r="B11" s="11" t="s">
        <v>94</v>
      </c>
      <c r="C11" s="182" t="s">
        <v>10</v>
      </c>
      <c r="D11" s="12"/>
      <c r="E11" s="34">
        <v>5000000000</v>
      </c>
      <c r="F11" s="10"/>
      <c r="G11" s="10"/>
      <c r="H11" s="11"/>
      <c r="I11" s="11"/>
      <c r="J11" s="11"/>
      <c r="K11" s="42">
        <f>I11-J11</f>
        <v>0</v>
      </c>
    </row>
    <row r="12" spans="1:11" s="66" customFormat="1" ht="15.75">
      <c r="A12" s="63"/>
      <c r="B12" s="64" t="s">
        <v>9</v>
      </c>
      <c r="C12" s="183"/>
      <c r="D12" s="63" t="s">
        <v>88</v>
      </c>
      <c r="E12" s="65"/>
      <c r="F12" s="63" t="s">
        <v>84</v>
      </c>
      <c r="G12" s="63"/>
      <c r="H12" s="30">
        <v>4443452560</v>
      </c>
      <c r="I12" s="30">
        <v>4443452560</v>
      </c>
      <c r="J12" s="30">
        <v>4443452000</v>
      </c>
      <c r="K12" s="30">
        <f>I12-J12</f>
        <v>560</v>
      </c>
    </row>
    <row r="13" spans="1:11" ht="15.75">
      <c r="A13" s="17"/>
      <c r="B13" s="18" t="s">
        <v>75</v>
      </c>
      <c r="C13" s="184"/>
      <c r="D13" s="19" t="s">
        <v>89</v>
      </c>
      <c r="E13" s="38"/>
      <c r="F13" s="13" t="s">
        <v>84</v>
      </c>
      <c r="G13" s="22"/>
      <c r="H13" s="53">
        <v>111174982</v>
      </c>
      <c r="I13" s="53">
        <v>111174982</v>
      </c>
      <c r="J13" s="53">
        <v>111174982</v>
      </c>
      <c r="K13" s="53">
        <f>I13-J13</f>
        <v>0</v>
      </c>
    </row>
    <row r="14" spans="1:11" s="7" customFormat="1" ht="31.5">
      <c r="A14" s="10">
        <v>3</v>
      </c>
      <c r="B14" s="11" t="s">
        <v>8</v>
      </c>
      <c r="C14" s="182" t="s">
        <v>10</v>
      </c>
      <c r="D14" s="12"/>
      <c r="E14" s="34">
        <v>12000000000</v>
      </c>
      <c r="F14" s="10"/>
      <c r="G14" s="10"/>
      <c r="H14" s="11"/>
      <c r="I14" s="11"/>
      <c r="J14" s="11"/>
      <c r="K14" s="42">
        <f t="shared" si="0"/>
        <v>0</v>
      </c>
    </row>
    <row r="15" spans="1:11" ht="15.75">
      <c r="A15" s="13"/>
      <c r="B15" s="14" t="s">
        <v>9</v>
      </c>
      <c r="C15" s="183"/>
      <c r="D15" s="15" t="s">
        <v>88</v>
      </c>
      <c r="E15" s="37"/>
      <c r="F15" s="13" t="s">
        <v>86</v>
      </c>
      <c r="G15" s="13"/>
      <c r="H15" s="16">
        <v>9445878108</v>
      </c>
      <c r="I15" s="16">
        <v>9612187000</v>
      </c>
      <c r="J15" s="16">
        <v>9591744631</v>
      </c>
      <c r="K15" s="16">
        <f t="shared" si="0"/>
        <v>20442369</v>
      </c>
    </row>
    <row r="16" spans="1:11" ht="15.75">
      <c r="A16" s="17"/>
      <c r="B16" s="18" t="s">
        <v>75</v>
      </c>
      <c r="C16" s="184"/>
      <c r="D16" s="19" t="s">
        <v>89</v>
      </c>
      <c r="E16" s="38"/>
      <c r="F16" s="13" t="s">
        <v>84</v>
      </c>
      <c r="G16" s="22"/>
      <c r="H16" s="20">
        <v>292523102</v>
      </c>
      <c r="I16" s="20">
        <v>292523102</v>
      </c>
      <c r="J16" s="20">
        <v>292523102</v>
      </c>
      <c r="K16" s="20">
        <f t="shared" si="0"/>
        <v>0</v>
      </c>
    </row>
    <row r="17" spans="1:11" s="7" customFormat="1" ht="15.75">
      <c r="A17" s="10">
        <v>4</v>
      </c>
      <c r="B17" s="11" t="s">
        <v>11</v>
      </c>
      <c r="C17" s="182" t="s">
        <v>12</v>
      </c>
      <c r="D17" s="12"/>
      <c r="E17" s="34">
        <v>4000000000</v>
      </c>
      <c r="F17" s="10"/>
      <c r="G17" s="10"/>
      <c r="H17" s="11"/>
      <c r="I17" s="11"/>
      <c r="J17" s="11"/>
      <c r="K17" s="42">
        <f t="shared" si="0"/>
        <v>0</v>
      </c>
    </row>
    <row r="18" spans="1:11" ht="15.75">
      <c r="A18" s="13"/>
      <c r="B18" s="14" t="s">
        <v>6</v>
      </c>
      <c r="C18" s="183"/>
      <c r="D18" s="15" t="s">
        <v>88</v>
      </c>
      <c r="E18" s="37"/>
      <c r="F18" s="13" t="s">
        <v>83</v>
      </c>
      <c r="G18" s="13"/>
      <c r="H18" s="16">
        <v>3365126321</v>
      </c>
      <c r="I18" s="16">
        <v>3378935735</v>
      </c>
      <c r="J18" s="16">
        <v>3376628522</v>
      </c>
      <c r="K18" s="16">
        <f t="shared" si="0"/>
        <v>2307213</v>
      </c>
    </row>
    <row r="19" spans="1:11" ht="15.75">
      <c r="A19" s="17"/>
      <c r="B19" s="18" t="s">
        <v>75</v>
      </c>
      <c r="C19" s="184"/>
      <c r="D19" s="19" t="s">
        <v>89</v>
      </c>
      <c r="E19" s="38"/>
      <c r="F19" s="13" t="s">
        <v>84</v>
      </c>
      <c r="G19" s="22"/>
      <c r="H19" s="20">
        <v>107784996</v>
      </c>
      <c r="I19" s="20">
        <v>107784996</v>
      </c>
      <c r="J19" s="20">
        <v>107784996</v>
      </c>
      <c r="K19" s="20">
        <f t="shared" si="0"/>
        <v>0</v>
      </c>
    </row>
    <row r="20" spans="1:11" s="7" customFormat="1" ht="15.75">
      <c r="A20" s="10">
        <v>5</v>
      </c>
      <c r="B20" s="11" t="s">
        <v>13</v>
      </c>
      <c r="C20" s="182" t="s">
        <v>12</v>
      </c>
      <c r="D20" s="12"/>
      <c r="E20" s="34">
        <v>5300000000</v>
      </c>
      <c r="F20" s="10"/>
      <c r="G20" s="10"/>
      <c r="H20" s="11"/>
      <c r="I20" s="11"/>
      <c r="J20" s="11"/>
      <c r="K20" s="42">
        <f t="shared" si="0"/>
        <v>0</v>
      </c>
    </row>
    <row r="21" spans="1:11" ht="15.75">
      <c r="A21" s="13"/>
      <c r="B21" s="14" t="s">
        <v>6</v>
      </c>
      <c r="C21" s="183"/>
      <c r="D21" s="15" t="s">
        <v>88</v>
      </c>
      <c r="E21" s="37"/>
      <c r="F21" s="13" t="s">
        <v>83</v>
      </c>
      <c r="G21" s="13"/>
      <c r="H21" s="16">
        <v>4560457136</v>
      </c>
      <c r="I21" s="16">
        <v>4690031867</v>
      </c>
      <c r="J21" s="16">
        <v>4679649975</v>
      </c>
      <c r="K21" s="16">
        <f t="shared" si="0"/>
        <v>10381892</v>
      </c>
    </row>
    <row r="22" spans="1:11" ht="15.75">
      <c r="A22" s="17"/>
      <c r="B22" s="18" t="s">
        <v>75</v>
      </c>
      <c r="C22" s="184"/>
      <c r="D22" s="19" t="s">
        <v>89</v>
      </c>
      <c r="E22" s="38"/>
      <c r="F22" s="13" t="s">
        <v>84</v>
      </c>
      <c r="G22" s="22"/>
      <c r="H22" s="20">
        <v>146071442</v>
      </c>
      <c r="I22" s="20">
        <v>146071442</v>
      </c>
      <c r="J22" s="20">
        <v>146071442</v>
      </c>
      <c r="K22" s="20">
        <f t="shared" si="0"/>
        <v>0</v>
      </c>
    </row>
    <row r="23" spans="1:11" ht="31.5">
      <c r="A23" s="10">
        <v>6</v>
      </c>
      <c r="B23" s="11" t="s">
        <v>14</v>
      </c>
      <c r="C23" s="182" t="s">
        <v>12</v>
      </c>
      <c r="D23" s="12"/>
      <c r="E23" s="34">
        <v>3900000000</v>
      </c>
      <c r="F23" s="10"/>
      <c r="G23" s="10"/>
      <c r="H23" s="11"/>
      <c r="I23" s="11"/>
      <c r="J23" s="11"/>
      <c r="K23" s="42">
        <f t="shared" si="0"/>
        <v>0</v>
      </c>
    </row>
    <row r="24" spans="1:11" ht="15.75">
      <c r="A24" s="13"/>
      <c r="B24" s="14" t="s">
        <v>6</v>
      </c>
      <c r="C24" s="183"/>
      <c r="D24" s="15" t="s">
        <v>88</v>
      </c>
      <c r="E24" s="37"/>
      <c r="F24" s="13" t="s">
        <v>83</v>
      </c>
      <c r="G24" s="13"/>
      <c r="H24" s="16">
        <v>3400409542</v>
      </c>
      <c r="I24" s="16">
        <v>3450419030</v>
      </c>
      <c r="J24" s="16">
        <v>3445532790</v>
      </c>
      <c r="K24" s="16">
        <f t="shared" si="0"/>
        <v>4886240</v>
      </c>
    </row>
    <row r="25" spans="1:11" ht="15.75">
      <c r="A25" s="17"/>
      <c r="B25" s="18" t="s">
        <v>75</v>
      </c>
      <c r="C25" s="184"/>
      <c r="D25" s="19" t="s">
        <v>89</v>
      </c>
      <c r="E25" s="38"/>
      <c r="F25" s="13" t="s">
        <v>84</v>
      </c>
      <c r="G25" s="22"/>
      <c r="H25" s="20">
        <v>88342640</v>
      </c>
      <c r="I25" s="20">
        <v>88342640</v>
      </c>
      <c r="J25" s="20">
        <v>88342640</v>
      </c>
      <c r="K25" s="20">
        <f t="shared" si="0"/>
        <v>0</v>
      </c>
    </row>
    <row r="26" spans="1:11" ht="15.75">
      <c r="A26" s="10">
        <v>7</v>
      </c>
      <c r="B26" s="11" t="s">
        <v>15</v>
      </c>
      <c r="C26" s="182" t="s">
        <v>12</v>
      </c>
      <c r="D26" s="12"/>
      <c r="E26" s="34">
        <v>4100000000</v>
      </c>
      <c r="F26" s="10"/>
      <c r="G26" s="10"/>
      <c r="H26" s="11"/>
      <c r="I26" s="11"/>
      <c r="J26" s="11"/>
      <c r="K26" s="42">
        <f t="shared" si="0"/>
        <v>0</v>
      </c>
    </row>
    <row r="27" spans="1:11" ht="15.75">
      <c r="A27" s="13"/>
      <c r="B27" s="14" t="s">
        <v>6</v>
      </c>
      <c r="C27" s="183"/>
      <c r="D27" s="15" t="s">
        <v>88</v>
      </c>
      <c r="E27" s="37"/>
      <c r="F27" s="13" t="s">
        <v>83</v>
      </c>
      <c r="G27" s="13"/>
      <c r="H27" s="16">
        <v>3376338655</v>
      </c>
      <c r="I27" s="16">
        <v>3502125725</v>
      </c>
      <c r="J27" s="16">
        <v>3498965653</v>
      </c>
      <c r="K27" s="16">
        <f t="shared" si="0"/>
        <v>3160072</v>
      </c>
    </row>
    <row r="28" spans="1:11" ht="15.75">
      <c r="A28" s="17"/>
      <c r="B28" s="18" t="s">
        <v>75</v>
      </c>
      <c r="C28" s="184"/>
      <c r="D28" s="19" t="s">
        <v>89</v>
      </c>
      <c r="E28" s="38"/>
      <c r="F28" s="13" t="s">
        <v>84</v>
      </c>
      <c r="G28" s="22"/>
      <c r="H28" s="20">
        <v>108144127</v>
      </c>
      <c r="I28" s="20">
        <v>108144127</v>
      </c>
      <c r="J28" s="20">
        <v>108144127</v>
      </c>
      <c r="K28" s="20">
        <f t="shared" si="0"/>
        <v>0</v>
      </c>
    </row>
    <row r="29" spans="1:11" s="49" customFormat="1" ht="31.5">
      <c r="A29" s="45">
        <v>8</v>
      </c>
      <c r="B29" s="46" t="s">
        <v>16</v>
      </c>
      <c r="C29" s="177" t="s">
        <v>12</v>
      </c>
      <c r="D29" s="113"/>
      <c r="E29" s="47">
        <v>1200000000</v>
      </c>
      <c r="F29" s="45"/>
      <c r="G29" s="45"/>
      <c r="H29" s="46"/>
      <c r="I29" s="46"/>
      <c r="J29" s="46"/>
      <c r="K29" s="48">
        <f t="shared" si="0"/>
        <v>0</v>
      </c>
    </row>
    <row r="30" spans="1:11" s="59" customFormat="1" ht="15.75">
      <c r="A30" s="114"/>
      <c r="B30" s="119" t="s">
        <v>6</v>
      </c>
      <c r="C30" s="178"/>
      <c r="D30" s="110" t="s">
        <v>88</v>
      </c>
      <c r="E30" s="78"/>
      <c r="F30" s="110" t="s">
        <v>84</v>
      </c>
      <c r="G30" s="57" t="s">
        <v>145</v>
      </c>
      <c r="H30" s="31">
        <v>999726343</v>
      </c>
      <c r="I30" s="31">
        <v>1059607101</v>
      </c>
      <c r="J30" s="31">
        <v>1059607101</v>
      </c>
      <c r="K30" s="55">
        <f t="shared" si="0"/>
        <v>0</v>
      </c>
    </row>
    <row r="31" spans="1:11" s="49" customFormat="1" ht="15.75">
      <c r="A31" s="115"/>
      <c r="B31" s="120" t="s">
        <v>75</v>
      </c>
      <c r="C31" s="185"/>
      <c r="D31" s="112" t="s">
        <v>89</v>
      </c>
      <c r="E31" s="51"/>
      <c r="F31" s="121" t="s">
        <v>85</v>
      </c>
      <c r="G31" s="52"/>
      <c r="H31" s="53">
        <v>25972891</v>
      </c>
      <c r="I31" s="53">
        <v>25972891</v>
      </c>
      <c r="J31" s="53">
        <v>25972891</v>
      </c>
      <c r="K31" s="53">
        <f t="shared" si="0"/>
        <v>0</v>
      </c>
    </row>
    <row r="32" spans="1:11" ht="15.75">
      <c r="A32" s="10">
        <v>9</v>
      </c>
      <c r="B32" s="11" t="s">
        <v>19</v>
      </c>
      <c r="C32" s="182" t="s">
        <v>20</v>
      </c>
      <c r="D32" s="12"/>
      <c r="E32" s="34">
        <v>2600000000</v>
      </c>
      <c r="F32" s="10"/>
      <c r="G32" s="10"/>
      <c r="H32" s="11"/>
      <c r="I32" s="11"/>
      <c r="J32" s="11"/>
      <c r="K32" s="42">
        <f t="shared" si="0"/>
        <v>0</v>
      </c>
    </row>
    <row r="33" spans="1:11" ht="15.75">
      <c r="A33" s="13"/>
      <c r="B33" s="14" t="s">
        <v>6</v>
      </c>
      <c r="C33" s="183"/>
      <c r="D33" s="61" t="s">
        <v>88</v>
      </c>
      <c r="E33" s="37"/>
      <c r="F33" s="13" t="s">
        <v>83</v>
      </c>
      <c r="G33" s="13"/>
      <c r="H33" s="16">
        <v>2259216196</v>
      </c>
      <c r="I33" s="16">
        <v>2286195569</v>
      </c>
      <c r="J33" s="16">
        <v>2281708694</v>
      </c>
      <c r="K33" s="16">
        <f t="shared" si="0"/>
        <v>4486875</v>
      </c>
    </row>
    <row r="34" spans="1:11" ht="15.75">
      <c r="A34" s="22"/>
      <c r="B34" s="23" t="s">
        <v>75</v>
      </c>
      <c r="C34" s="186"/>
      <c r="D34" s="62" t="s">
        <v>89</v>
      </c>
      <c r="E34" s="39"/>
      <c r="F34" s="13" t="s">
        <v>84</v>
      </c>
      <c r="G34" s="22"/>
      <c r="H34" s="25">
        <v>74215252</v>
      </c>
      <c r="I34" s="25">
        <v>74215252</v>
      </c>
      <c r="J34" s="25">
        <v>74215252</v>
      </c>
      <c r="K34" s="16">
        <f t="shared" si="0"/>
        <v>0</v>
      </c>
    </row>
    <row r="35" spans="1:11" ht="15.75">
      <c r="A35" s="17"/>
      <c r="B35" s="18" t="s">
        <v>78</v>
      </c>
      <c r="C35" s="184"/>
      <c r="D35" s="62" t="s">
        <v>89</v>
      </c>
      <c r="E35" s="38"/>
      <c r="F35" s="13" t="s">
        <v>84</v>
      </c>
      <c r="G35" s="22"/>
      <c r="H35" s="20">
        <v>5855888</v>
      </c>
      <c r="I35" s="20">
        <v>5855888</v>
      </c>
      <c r="J35" s="20">
        <v>5855888</v>
      </c>
      <c r="K35" s="20">
        <f t="shared" si="0"/>
        <v>0</v>
      </c>
    </row>
    <row r="36" spans="1:11" s="7" customFormat="1" ht="15.75">
      <c r="A36" s="10">
        <v>10</v>
      </c>
      <c r="B36" s="11" t="s">
        <v>21</v>
      </c>
      <c r="C36" s="182" t="s">
        <v>20</v>
      </c>
      <c r="D36" s="12"/>
      <c r="E36" s="34">
        <v>2400000000</v>
      </c>
      <c r="F36" s="10"/>
      <c r="G36" s="10"/>
      <c r="H36" s="11"/>
      <c r="I36" s="11"/>
      <c r="J36" s="11"/>
      <c r="K36" s="42">
        <f t="shared" si="0"/>
        <v>0</v>
      </c>
    </row>
    <row r="37" spans="1:11" ht="15.75">
      <c r="A37" s="13"/>
      <c r="B37" s="14" t="s">
        <v>6</v>
      </c>
      <c r="C37" s="183"/>
      <c r="D37" s="15" t="s">
        <v>88</v>
      </c>
      <c r="E37" s="37"/>
      <c r="F37" s="13" t="s">
        <v>83</v>
      </c>
      <c r="G37" s="13"/>
      <c r="H37" s="16">
        <v>2259216196</v>
      </c>
      <c r="I37" s="16">
        <v>2098419505</v>
      </c>
      <c r="J37" s="16">
        <v>2096293122</v>
      </c>
      <c r="K37" s="16">
        <f t="shared" si="0"/>
        <v>2126383</v>
      </c>
    </row>
    <row r="38" spans="1:11" ht="15.75">
      <c r="A38" s="13"/>
      <c r="B38" s="14" t="s">
        <v>75</v>
      </c>
      <c r="C38" s="183"/>
      <c r="D38" s="19" t="s">
        <v>89</v>
      </c>
      <c r="E38" s="37"/>
      <c r="F38" s="13" t="s">
        <v>84</v>
      </c>
      <c r="G38" s="13"/>
      <c r="H38" s="16">
        <v>74215252</v>
      </c>
      <c r="I38" s="16">
        <v>74215252</v>
      </c>
      <c r="J38" s="16">
        <v>74215252</v>
      </c>
      <c r="K38" s="16">
        <f t="shared" si="0"/>
        <v>0</v>
      </c>
    </row>
    <row r="39" spans="1:11" ht="15.75">
      <c r="A39" s="17"/>
      <c r="B39" s="18" t="s">
        <v>78</v>
      </c>
      <c r="C39" s="184"/>
      <c r="D39" s="19" t="s">
        <v>89</v>
      </c>
      <c r="E39" s="38"/>
      <c r="F39" s="13" t="s">
        <v>84</v>
      </c>
      <c r="G39" s="22"/>
      <c r="H39" s="20">
        <v>5855888</v>
      </c>
      <c r="I39" s="20">
        <v>5855888</v>
      </c>
      <c r="J39" s="20">
        <v>5855888</v>
      </c>
      <c r="K39" s="16">
        <f t="shared" si="0"/>
        <v>0</v>
      </c>
    </row>
    <row r="40" spans="1:11" ht="15.75">
      <c r="A40" s="10">
        <v>11</v>
      </c>
      <c r="B40" s="11" t="s">
        <v>22</v>
      </c>
      <c r="C40" s="182" t="s">
        <v>12</v>
      </c>
      <c r="D40" s="12"/>
      <c r="E40" s="34">
        <v>3600000000</v>
      </c>
      <c r="F40" s="10"/>
      <c r="G40" s="10"/>
      <c r="H40" s="11"/>
      <c r="I40" s="11"/>
      <c r="J40" s="11"/>
      <c r="K40" s="16">
        <f t="shared" si="0"/>
        <v>0</v>
      </c>
    </row>
    <row r="41" spans="1:11" ht="15.75">
      <c r="A41" s="13"/>
      <c r="B41" s="14" t="s">
        <v>6</v>
      </c>
      <c r="C41" s="183"/>
      <c r="D41" s="15" t="s">
        <v>88</v>
      </c>
      <c r="E41" s="37"/>
      <c r="F41" s="13" t="s">
        <v>83</v>
      </c>
      <c r="G41" s="13"/>
      <c r="H41" s="16">
        <v>2826591813</v>
      </c>
      <c r="I41" s="16">
        <v>2872758228</v>
      </c>
      <c r="J41" s="16">
        <v>2870475096</v>
      </c>
      <c r="K41" s="16">
        <f t="shared" si="0"/>
        <v>2283132</v>
      </c>
    </row>
    <row r="42" spans="1:11" ht="15.75">
      <c r="A42" s="17"/>
      <c r="B42" s="18" t="s">
        <v>7</v>
      </c>
      <c r="C42" s="184"/>
      <c r="D42" s="19" t="s">
        <v>89</v>
      </c>
      <c r="E42" s="38"/>
      <c r="F42" s="13" t="s">
        <v>84</v>
      </c>
      <c r="G42" s="22"/>
      <c r="H42" s="20">
        <v>90535735</v>
      </c>
      <c r="I42" s="20">
        <v>90535735</v>
      </c>
      <c r="J42" s="20">
        <v>90535735</v>
      </c>
      <c r="K42" s="20">
        <f t="shared" si="0"/>
        <v>0</v>
      </c>
    </row>
    <row r="43" spans="1:11" ht="15.75">
      <c r="A43" s="10">
        <v>12</v>
      </c>
      <c r="B43" s="11" t="s">
        <v>23</v>
      </c>
      <c r="C43" s="182" t="s">
        <v>12</v>
      </c>
      <c r="D43" s="12"/>
      <c r="E43" s="34">
        <v>3500000000</v>
      </c>
      <c r="F43" s="10"/>
      <c r="G43" s="10"/>
      <c r="H43" s="11"/>
      <c r="I43" s="11"/>
      <c r="J43" s="11"/>
      <c r="K43" s="42">
        <f t="shared" si="0"/>
        <v>0</v>
      </c>
    </row>
    <row r="44" spans="1:11" ht="15.75">
      <c r="A44" s="13"/>
      <c r="B44" s="14" t="s">
        <v>6</v>
      </c>
      <c r="C44" s="183"/>
      <c r="D44" s="15" t="s">
        <v>88</v>
      </c>
      <c r="E44" s="37"/>
      <c r="F44" s="13" t="s">
        <v>83</v>
      </c>
      <c r="G44" s="13"/>
      <c r="H44" s="16">
        <v>2990966613</v>
      </c>
      <c r="I44" s="16">
        <v>3047686252</v>
      </c>
      <c r="J44" s="16">
        <v>3043418481</v>
      </c>
      <c r="K44" s="16">
        <f t="shared" si="0"/>
        <v>4267771</v>
      </c>
    </row>
    <row r="45" spans="1:11" ht="15.75">
      <c r="A45" s="17"/>
      <c r="B45" s="18" t="s">
        <v>75</v>
      </c>
      <c r="C45" s="184"/>
      <c r="D45" s="19" t="s">
        <v>89</v>
      </c>
      <c r="E45" s="38"/>
      <c r="F45" s="13" t="s">
        <v>84</v>
      </c>
      <c r="G45" s="22"/>
      <c r="H45" s="20">
        <v>95800661</v>
      </c>
      <c r="I45" s="20">
        <v>95800661</v>
      </c>
      <c r="J45" s="20">
        <v>95800661</v>
      </c>
      <c r="K45" s="20">
        <f t="shared" si="0"/>
        <v>0</v>
      </c>
    </row>
    <row r="46" spans="1:11" s="9" customFormat="1" ht="15.75">
      <c r="A46" s="10">
        <v>13</v>
      </c>
      <c r="B46" s="11" t="s">
        <v>24</v>
      </c>
      <c r="C46" s="182" t="s">
        <v>20</v>
      </c>
      <c r="D46" s="12"/>
      <c r="E46" s="34">
        <v>2300000000</v>
      </c>
      <c r="F46" s="10"/>
      <c r="G46" s="10"/>
      <c r="H46" s="11"/>
      <c r="I46" s="11"/>
      <c r="J46" s="11"/>
      <c r="K46" s="42">
        <f t="shared" si="0"/>
        <v>0</v>
      </c>
    </row>
    <row r="47" spans="1:11" s="9" customFormat="1" ht="15.75">
      <c r="A47" s="15"/>
      <c r="B47" s="26" t="s">
        <v>6</v>
      </c>
      <c r="C47" s="183"/>
      <c r="D47" s="61" t="s">
        <v>88</v>
      </c>
      <c r="E47" s="37"/>
      <c r="F47" s="13" t="s">
        <v>83</v>
      </c>
      <c r="G47" s="13"/>
      <c r="H47" s="27">
        <v>1883378663</v>
      </c>
      <c r="I47" s="27">
        <v>1914304939</v>
      </c>
      <c r="J47" s="27">
        <v>1909257909</v>
      </c>
      <c r="K47" s="16">
        <f t="shared" si="0"/>
        <v>5047030</v>
      </c>
    </row>
    <row r="48" spans="1:11" s="9" customFormat="1" ht="15.75">
      <c r="A48" s="15"/>
      <c r="B48" s="26" t="s">
        <v>75</v>
      </c>
      <c r="C48" s="183"/>
      <c r="D48" s="62" t="s">
        <v>89</v>
      </c>
      <c r="E48" s="37"/>
      <c r="F48" s="13" t="s">
        <v>84</v>
      </c>
      <c r="G48" s="13"/>
      <c r="H48" s="27">
        <v>61868990</v>
      </c>
      <c r="I48" s="27">
        <v>61868990</v>
      </c>
      <c r="J48" s="27">
        <v>61868990</v>
      </c>
      <c r="K48" s="16">
        <f t="shared" si="0"/>
        <v>0</v>
      </c>
    </row>
    <row r="49" spans="1:11" s="9" customFormat="1" ht="15.75">
      <c r="A49" s="19"/>
      <c r="B49" s="28" t="s">
        <v>78</v>
      </c>
      <c r="C49" s="184"/>
      <c r="D49" s="19" t="s">
        <v>89</v>
      </c>
      <c r="E49" s="38"/>
      <c r="F49" s="13" t="s">
        <v>84</v>
      </c>
      <c r="G49" s="22"/>
      <c r="H49" s="29">
        <v>4881718</v>
      </c>
      <c r="I49" s="29">
        <v>4881718</v>
      </c>
      <c r="J49" s="29">
        <v>4881718</v>
      </c>
      <c r="K49" s="20">
        <f t="shared" si="0"/>
        <v>0</v>
      </c>
    </row>
    <row r="50" spans="1:11" ht="15.75">
      <c r="A50" s="10">
        <v>14</v>
      </c>
      <c r="B50" s="11" t="s">
        <v>25</v>
      </c>
      <c r="C50" s="182" t="s">
        <v>12</v>
      </c>
      <c r="D50" s="12"/>
      <c r="E50" s="34">
        <v>4000000000</v>
      </c>
      <c r="F50" s="10"/>
      <c r="G50" s="10"/>
      <c r="H50" s="11"/>
      <c r="I50" s="11"/>
      <c r="J50" s="11"/>
      <c r="K50" s="42">
        <f t="shared" si="0"/>
        <v>0</v>
      </c>
    </row>
    <row r="51" spans="1:11" ht="15.75">
      <c r="A51" s="13"/>
      <c r="B51" s="14" t="s">
        <v>6</v>
      </c>
      <c r="C51" s="183"/>
      <c r="D51" s="15" t="s">
        <v>88</v>
      </c>
      <c r="E51" s="37"/>
      <c r="F51" s="13" t="s">
        <v>83</v>
      </c>
      <c r="G51" s="13"/>
      <c r="H51" s="16">
        <v>3351250743</v>
      </c>
      <c r="I51" s="16">
        <v>3400540131</v>
      </c>
      <c r="J51" s="16">
        <v>3398579784</v>
      </c>
      <c r="K51" s="16">
        <f t="shared" si="0"/>
        <v>1960347</v>
      </c>
    </row>
    <row r="52" spans="1:11" ht="15.75">
      <c r="A52" s="13"/>
      <c r="B52" s="14" t="s">
        <v>75</v>
      </c>
      <c r="C52" s="184"/>
      <c r="D52" s="19" t="s">
        <v>89</v>
      </c>
      <c r="E52" s="37"/>
      <c r="F52" s="13" t="s">
        <v>84</v>
      </c>
      <c r="G52" s="13"/>
      <c r="H52" s="16">
        <v>107340561</v>
      </c>
      <c r="I52" s="16">
        <v>107340561</v>
      </c>
      <c r="J52" s="16">
        <v>107340561</v>
      </c>
      <c r="K52" s="20">
        <f t="shared" si="0"/>
        <v>0</v>
      </c>
    </row>
    <row r="53" spans="1:11" ht="31.5">
      <c r="A53" s="10">
        <v>15</v>
      </c>
      <c r="B53" s="11" t="s">
        <v>26</v>
      </c>
      <c r="C53" s="182" t="s">
        <v>20</v>
      </c>
      <c r="D53" s="12"/>
      <c r="E53" s="34">
        <v>2000000000</v>
      </c>
      <c r="F53" s="10"/>
      <c r="G53" s="10"/>
      <c r="H53" s="11"/>
      <c r="I53" s="11"/>
      <c r="J53" s="11"/>
      <c r="K53" s="42">
        <f t="shared" si="0"/>
        <v>0</v>
      </c>
    </row>
    <row r="54" spans="1:11" ht="15.75">
      <c r="A54" s="13"/>
      <c r="B54" s="14" t="s">
        <v>6</v>
      </c>
      <c r="C54" s="183"/>
      <c r="D54" s="15" t="s">
        <v>88</v>
      </c>
      <c r="E54" s="37"/>
      <c r="F54" s="13" t="s">
        <v>83</v>
      </c>
      <c r="G54" s="13"/>
      <c r="H54" s="16">
        <v>1722114193</v>
      </c>
      <c r="I54" s="16">
        <v>1755027251</v>
      </c>
      <c r="J54" s="16">
        <v>1751974661</v>
      </c>
      <c r="K54" s="16">
        <f t="shared" si="0"/>
        <v>3052590</v>
      </c>
    </row>
    <row r="55" spans="1:11" ht="15.75">
      <c r="A55" s="13"/>
      <c r="B55" s="14" t="s">
        <v>75</v>
      </c>
      <c r="C55" s="183"/>
      <c r="D55" s="19" t="s">
        <v>89</v>
      </c>
      <c r="E55" s="37"/>
      <c r="F55" s="13" t="s">
        <v>84</v>
      </c>
      <c r="G55" s="13"/>
      <c r="H55" s="16">
        <v>56571451</v>
      </c>
      <c r="I55" s="16">
        <v>56571451</v>
      </c>
      <c r="J55" s="16">
        <v>56571451</v>
      </c>
      <c r="K55" s="16">
        <f t="shared" si="0"/>
        <v>0</v>
      </c>
    </row>
    <row r="56" spans="1:11" ht="15.75">
      <c r="A56" s="17"/>
      <c r="B56" s="18" t="s">
        <v>78</v>
      </c>
      <c r="C56" s="184"/>
      <c r="D56" s="19" t="s">
        <v>89</v>
      </c>
      <c r="E56" s="38"/>
      <c r="F56" s="13" t="s">
        <v>84</v>
      </c>
      <c r="G56" s="22"/>
      <c r="H56" s="20">
        <v>4463720</v>
      </c>
      <c r="I56" s="20">
        <v>4463720</v>
      </c>
      <c r="J56" s="20">
        <v>4463720</v>
      </c>
      <c r="K56" s="20">
        <f t="shared" si="0"/>
        <v>0</v>
      </c>
    </row>
    <row r="57" spans="1:11" ht="15.75">
      <c r="A57" s="10">
        <v>16</v>
      </c>
      <c r="B57" s="11" t="s">
        <v>27</v>
      </c>
      <c r="C57" s="182" t="s">
        <v>20</v>
      </c>
      <c r="D57" s="12"/>
      <c r="E57" s="34">
        <v>2100000000</v>
      </c>
      <c r="F57" s="10"/>
      <c r="G57" s="10"/>
      <c r="H57" s="11"/>
      <c r="I57" s="11"/>
      <c r="J57" s="11"/>
      <c r="K57" s="42">
        <f t="shared" si="0"/>
        <v>0</v>
      </c>
    </row>
    <row r="58" spans="1:11" ht="15.75">
      <c r="A58" s="13"/>
      <c r="B58" s="14" t="s">
        <v>6</v>
      </c>
      <c r="C58" s="183"/>
      <c r="D58" s="15" t="s">
        <v>88</v>
      </c>
      <c r="E58" s="37"/>
      <c r="F58" s="13" t="s">
        <v>83</v>
      </c>
      <c r="G58" s="13"/>
      <c r="H58" s="16">
        <v>1819931512</v>
      </c>
      <c r="I58" s="16">
        <v>1823654458</v>
      </c>
      <c r="J58" s="16">
        <v>1820779058</v>
      </c>
      <c r="K58" s="16">
        <f t="shared" si="0"/>
        <v>2875400</v>
      </c>
    </row>
    <row r="59" spans="1:11" ht="15.75">
      <c r="A59" s="13"/>
      <c r="B59" s="14" t="s">
        <v>75</v>
      </c>
      <c r="C59" s="183"/>
      <c r="D59" s="19" t="s">
        <v>89</v>
      </c>
      <c r="E59" s="37"/>
      <c r="F59" s="13" t="s">
        <v>84</v>
      </c>
      <c r="G59" s="13"/>
      <c r="H59" s="16">
        <v>59784750</v>
      </c>
      <c r="I59" s="16">
        <v>59784750</v>
      </c>
      <c r="J59" s="16">
        <v>59784750</v>
      </c>
      <c r="K59" s="16">
        <f t="shared" si="0"/>
        <v>0</v>
      </c>
    </row>
    <row r="60" spans="1:11" ht="15.75">
      <c r="A60" s="17"/>
      <c r="B60" s="18" t="s">
        <v>78</v>
      </c>
      <c r="C60" s="184"/>
      <c r="D60" s="19" t="s">
        <v>89</v>
      </c>
      <c r="E60" s="38"/>
      <c r="F60" s="13" t="s">
        <v>84</v>
      </c>
      <c r="G60" s="22"/>
      <c r="H60" s="20">
        <v>4717262</v>
      </c>
      <c r="I60" s="20">
        <v>4717262</v>
      </c>
      <c r="J60" s="20">
        <v>4717262</v>
      </c>
      <c r="K60" s="20">
        <f t="shared" si="0"/>
        <v>0</v>
      </c>
    </row>
    <row r="61" spans="1:11" ht="15.75">
      <c r="A61" s="10">
        <v>17</v>
      </c>
      <c r="B61" s="11" t="s">
        <v>28</v>
      </c>
      <c r="C61" s="182" t="s">
        <v>12</v>
      </c>
      <c r="D61" s="12"/>
      <c r="E61" s="34">
        <v>2600000000</v>
      </c>
      <c r="F61" s="10"/>
      <c r="G61" s="10"/>
      <c r="H61" s="11"/>
      <c r="I61" s="11"/>
      <c r="J61" s="11"/>
      <c r="K61" s="42">
        <f t="shared" si="0"/>
        <v>0</v>
      </c>
    </row>
    <row r="62" spans="1:11" ht="15.75">
      <c r="A62" s="13"/>
      <c r="B62" s="14" t="s">
        <v>6</v>
      </c>
      <c r="C62" s="183"/>
      <c r="D62" s="15" t="s">
        <v>88</v>
      </c>
      <c r="E62" s="37"/>
      <c r="F62" s="13" t="s">
        <v>83</v>
      </c>
      <c r="G62" s="13"/>
      <c r="H62" s="16">
        <v>2091822504</v>
      </c>
      <c r="I62" s="16">
        <v>2133179838</v>
      </c>
      <c r="J62" s="16">
        <v>2129305670</v>
      </c>
      <c r="K62" s="16">
        <f t="shared" si="0"/>
        <v>3874168</v>
      </c>
    </row>
    <row r="63" spans="1:11" ht="15.75">
      <c r="A63" s="13"/>
      <c r="B63" s="14" t="s">
        <v>75</v>
      </c>
      <c r="C63" s="184"/>
      <c r="D63" s="19" t="s">
        <v>89</v>
      </c>
      <c r="E63" s="37"/>
      <c r="F63" s="13" t="s">
        <v>84</v>
      </c>
      <c r="G63" s="13"/>
      <c r="H63" s="16">
        <v>67001075</v>
      </c>
      <c r="I63" s="16">
        <v>67001075</v>
      </c>
      <c r="J63" s="16">
        <v>67001075</v>
      </c>
      <c r="K63" s="20">
        <f t="shared" si="0"/>
        <v>0</v>
      </c>
    </row>
    <row r="64" spans="1:11" ht="15.75">
      <c r="A64" s="10">
        <v>18</v>
      </c>
      <c r="B64" s="11" t="s">
        <v>29</v>
      </c>
      <c r="C64" s="182" t="s">
        <v>12</v>
      </c>
      <c r="D64" s="12"/>
      <c r="E64" s="34">
        <v>3500000000</v>
      </c>
      <c r="F64" s="10"/>
      <c r="G64" s="10"/>
      <c r="H64" s="11"/>
      <c r="I64" s="11"/>
      <c r="J64" s="11"/>
      <c r="K64" s="42">
        <f t="shared" si="0"/>
        <v>0</v>
      </c>
    </row>
    <row r="65" spans="1:11" ht="15.75">
      <c r="A65" s="13"/>
      <c r="B65" s="14" t="s">
        <v>6</v>
      </c>
      <c r="C65" s="183"/>
      <c r="D65" s="15" t="s">
        <v>88</v>
      </c>
      <c r="E65" s="37"/>
      <c r="F65" s="13" t="s">
        <v>83</v>
      </c>
      <c r="G65" s="13"/>
      <c r="H65" s="16">
        <v>2988134688</v>
      </c>
      <c r="I65" s="16">
        <v>3020458422</v>
      </c>
      <c r="J65" s="16">
        <v>3016891015</v>
      </c>
      <c r="K65" s="16">
        <f t="shared" si="0"/>
        <v>3567407</v>
      </c>
    </row>
    <row r="66" spans="1:11" ht="15.75">
      <c r="A66" s="13"/>
      <c r="B66" s="14" t="s">
        <v>75</v>
      </c>
      <c r="C66" s="184"/>
      <c r="D66" s="19" t="s">
        <v>89</v>
      </c>
      <c r="E66" s="37"/>
      <c r="F66" s="13" t="s">
        <v>84</v>
      </c>
      <c r="G66" s="13"/>
      <c r="H66" s="16">
        <v>98160225</v>
      </c>
      <c r="I66" s="16">
        <v>98160225</v>
      </c>
      <c r="J66" s="16">
        <v>98160225</v>
      </c>
      <c r="K66" s="20">
        <f t="shared" si="0"/>
        <v>0</v>
      </c>
    </row>
    <row r="67" spans="1:11" ht="15.75">
      <c r="A67" s="10">
        <v>19</v>
      </c>
      <c r="B67" s="11" t="s">
        <v>30</v>
      </c>
      <c r="C67" s="182" t="s">
        <v>20</v>
      </c>
      <c r="D67" s="12"/>
      <c r="E67" s="34">
        <v>2200000000</v>
      </c>
      <c r="F67" s="10"/>
      <c r="G67" s="10"/>
      <c r="H67" s="11"/>
      <c r="I67" s="11"/>
      <c r="J67" s="11"/>
      <c r="K67" s="42">
        <f t="shared" si="0"/>
        <v>0</v>
      </c>
    </row>
    <row r="68" spans="1:11" ht="15.75">
      <c r="A68" s="13"/>
      <c r="B68" s="14" t="s">
        <v>6</v>
      </c>
      <c r="C68" s="183"/>
      <c r="D68" s="15" t="s">
        <v>88</v>
      </c>
      <c r="E68" s="37"/>
      <c r="F68" s="13" t="s">
        <v>83</v>
      </c>
      <c r="G68" s="13"/>
      <c r="H68" s="16">
        <v>1908680539</v>
      </c>
      <c r="I68" s="16">
        <v>1921063916</v>
      </c>
      <c r="J68" s="16">
        <v>1915684738</v>
      </c>
      <c r="K68" s="16">
        <f t="shared" si="0"/>
        <v>5379178</v>
      </c>
    </row>
    <row r="69" spans="1:11" ht="15.75">
      <c r="A69" s="13"/>
      <c r="B69" s="14" t="s">
        <v>75</v>
      </c>
      <c r="C69" s="183"/>
      <c r="D69" s="19" t="s">
        <v>89</v>
      </c>
      <c r="E69" s="37"/>
      <c r="F69" s="13" t="s">
        <v>84</v>
      </c>
      <c r="G69" s="13"/>
      <c r="H69" s="16">
        <v>62700156</v>
      </c>
      <c r="I69" s="16">
        <v>62700156</v>
      </c>
      <c r="J69" s="16">
        <v>62700156</v>
      </c>
      <c r="K69" s="16">
        <f t="shared" si="0"/>
        <v>0</v>
      </c>
    </row>
    <row r="70" spans="1:11" ht="15.75">
      <c r="A70" s="17"/>
      <c r="B70" s="18" t="s">
        <v>78</v>
      </c>
      <c r="C70" s="184"/>
      <c r="D70" s="19" t="s">
        <v>89</v>
      </c>
      <c r="E70" s="38"/>
      <c r="F70" s="13" t="s">
        <v>84</v>
      </c>
      <c r="G70" s="22"/>
      <c r="H70" s="20">
        <v>4947300</v>
      </c>
      <c r="I70" s="20">
        <v>4947300</v>
      </c>
      <c r="J70" s="20">
        <v>4947300</v>
      </c>
      <c r="K70" s="20">
        <f t="shared" si="0"/>
        <v>0</v>
      </c>
    </row>
    <row r="71" spans="1:11" ht="15.75">
      <c r="A71" s="10">
        <v>20</v>
      </c>
      <c r="B71" s="11" t="s">
        <v>31</v>
      </c>
      <c r="C71" s="182" t="s">
        <v>12</v>
      </c>
      <c r="D71" s="12"/>
      <c r="E71" s="34">
        <v>3300000000</v>
      </c>
      <c r="F71" s="10"/>
      <c r="G71" s="10"/>
      <c r="H71" s="11"/>
      <c r="I71" s="11"/>
      <c r="J71" s="11"/>
      <c r="K71" s="42">
        <f t="shared" si="0"/>
        <v>0</v>
      </c>
    </row>
    <row r="72" spans="1:11" ht="15.75">
      <c r="A72" s="13"/>
      <c r="B72" s="14" t="s">
        <v>6</v>
      </c>
      <c r="C72" s="183"/>
      <c r="D72" s="15" t="s">
        <v>88</v>
      </c>
      <c r="E72" s="37"/>
      <c r="F72" s="13" t="s">
        <v>83</v>
      </c>
      <c r="G72" s="13"/>
      <c r="H72" s="16">
        <v>2685827020</v>
      </c>
      <c r="I72" s="16">
        <v>2852169899</v>
      </c>
      <c r="J72" s="16">
        <v>2846451444</v>
      </c>
      <c r="K72" s="16">
        <f t="shared" si="0"/>
        <v>5718455</v>
      </c>
    </row>
    <row r="73" spans="1:11" ht="15.75">
      <c r="A73" s="13"/>
      <c r="B73" s="14" t="s">
        <v>75</v>
      </c>
      <c r="C73" s="184"/>
      <c r="D73" s="19" t="s">
        <v>89</v>
      </c>
      <c r="E73" s="37"/>
      <c r="F73" s="13" t="s">
        <v>84</v>
      </c>
      <c r="G73" s="13"/>
      <c r="H73" s="16">
        <v>88229417</v>
      </c>
      <c r="I73" s="16">
        <v>88229417</v>
      </c>
      <c r="J73" s="16">
        <v>88229417</v>
      </c>
      <c r="K73" s="20">
        <f t="shared" si="0"/>
        <v>0</v>
      </c>
    </row>
    <row r="74" spans="1:11" ht="31.5">
      <c r="A74" s="10">
        <v>21</v>
      </c>
      <c r="B74" s="11" t="s">
        <v>32</v>
      </c>
      <c r="C74" s="182" t="s">
        <v>20</v>
      </c>
      <c r="D74" s="12"/>
      <c r="E74" s="34">
        <v>2650000000</v>
      </c>
      <c r="F74" s="10"/>
      <c r="G74" s="10"/>
      <c r="H74" s="11"/>
      <c r="I74" s="11"/>
      <c r="J74" s="11"/>
      <c r="K74" s="42">
        <f t="shared" si="0"/>
        <v>0</v>
      </c>
    </row>
    <row r="75" spans="1:11" ht="15.75">
      <c r="A75" s="13"/>
      <c r="B75" s="14" t="s">
        <v>6</v>
      </c>
      <c r="C75" s="183"/>
      <c r="D75" s="15" t="s">
        <v>88</v>
      </c>
      <c r="E75" s="37"/>
      <c r="F75" s="13" t="s">
        <v>83</v>
      </c>
      <c r="G75" s="13"/>
      <c r="H75" s="16">
        <v>2272572442</v>
      </c>
      <c r="I75" s="16">
        <v>2320787772</v>
      </c>
      <c r="J75" s="16">
        <v>2318643898</v>
      </c>
      <c r="K75" s="16">
        <f t="shared" si="0"/>
        <v>2143874</v>
      </c>
    </row>
    <row r="76" spans="1:11" ht="15.75">
      <c r="A76" s="13"/>
      <c r="B76" s="14" t="s">
        <v>75</v>
      </c>
      <c r="C76" s="183"/>
      <c r="D76" s="19" t="s">
        <v>89</v>
      </c>
      <c r="E76" s="37"/>
      <c r="F76" s="13" t="s">
        <v>84</v>
      </c>
      <c r="G76" s="13"/>
      <c r="H76" s="16">
        <v>74654005</v>
      </c>
      <c r="I76" s="16">
        <v>74654005</v>
      </c>
      <c r="J76" s="16">
        <v>74654005</v>
      </c>
      <c r="K76" s="16">
        <f aca="true" t="shared" si="1" ref="K76:K149">I76-J76</f>
        <v>0</v>
      </c>
    </row>
    <row r="77" spans="1:11" ht="15.75">
      <c r="A77" s="17"/>
      <c r="B77" s="18" t="s">
        <v>78</v>
      </c>
      <c r="C77" s="184"/>
      <c r="D77" s="19" t="s">
        <v>89</v>
      </c>
      <c r="E77" s="38"/>
      <c r="F77" s="13" t="s">
        <v>84</v>
      </c>
      <c r="G77" s="22"/>
      <c r="H77" s="20">
        <v>5890508</v>
      </c>
      <c r="I77" s="20">
        <v>5890508</v>
      </c>
      <c r="J77" s="20">
        <v>5890508</v>
      </c>
      <c r="K77" s="20">
        <f t="shared" si="1"/>
        <v>0</v>
      </c>
    </row>
    <row r="78" spans="1:11" ht="15.75">
      <c r="A78" s="10">
        <v>22</v>
      </c>
      <c r="B78" s="11" t="s">
        <v>33</v>
      </c>
      <c r="C78" s="182" t="s">
        <v>12</v>
      </c>
      <c r="D78" s="12"/>
      <c r="E78" s="34">
        <v>3300000000</v>
      </c>
      <c r="F78" s="10"/>
      <c r="G78" s="10"/>
      <c r="H78" s="11"/>
      <c r="I78" s="11"/>
      <c r="J78" s="11"/>
      <c r="K78" s="42">
        <f t="shared" si="1"/>
        <v>0</v>
      </c>
    </row>
    <row r="79" spans="1:11" ht="15.75">
      <c r="A79" s="13"/>
      <c r="B79" s="14" t="s">
        <v>6</v>
      </c>
      <c r="C79" s="183"/>
      <c r="D79" s="15" t="s">
        <v>88</v>
      </c>
      <c r="E79" s="37"/>
      <c r="F79" s="13" t="s">
        <v>83</v>
      </c>
      <c r="G79" s="13"/>
      <c r="H79" s="16">
        <v>3656524189</v>
      </c>
      <c r="I79" s="16">
        <v>3740308506</v>
      </c>
      <c r="J79" s="16">
        <v>3735019584</v>
      </c>
      <c r="K79" s="16">
        <f t="shared" si="1"/>
        <v>5288922</v>
      </c>
    </row>
    <row r="80" spans="1:11" ht="15.75">
      <c r="A80" s="13"/>
      <c r="B80" s="14" t="s">
        <v>75</v>
      </c>
      <c r="C80" s="184"/>
      <c r="D80" s="19" t="s">
        <v>89</v>
      </c>
      <c r="E80" s="37"/>
      <c r="F80" s="13" t="s">
        <v>84</v>
      </c>
      <c r="G80" s="13"/>
      <c r="H80" s="16">
        <v>117118470</v>
      </c>
      <c r="I80" s="16">
        <v>117118470</v>
      </c>
      <c r="J80" s="16">
        <v>117118470</v>
      </c>
      <c r="K80" s="16">
        <f t="shared" si="1"/>
        <v>0</v>
      </c>
    </row>
    <row r="81" spans="1:11" ht="15.75">
      <c r="A81" s="10">
        <v>23</v>
      </c>
      <c r="B81" s="11" t="s">
        <v>34</v>
      </c>
      <c r="C81" s="182" t="s">
        <v>12</v>
      </c>
      <c r="D81" s="12"/>
      <c r="E81" s="34">
        <v>2500000000</v>
      </c>
      <c r="F81" s="10"/>
      <c r="G81" s="10"/>
      <c r="H81" s="11"/>
      <c r="I81" s="11"/>
      <c r="J81" s="11"/>
      <c r="K81" s="16">
        <f t="shared" si="1"/>
        <v>0</v>
      </c>
    </row>
    <row r="82" spans="1:11" ht="15.75">
      <c r="A82" s="13"/>
      <c r="B82" s="14" t="s">
        <v>6</v>
      </c>
      <c r="C82" s="183"/>
      <c r="D82" s="15" t="s">
        <v>88</v>
      </c>
      <c r="E82" s="37"/>
      <c r="F82" s="13" t="s">
        <v>83</v>
      </c>
      <c r="G82" s="13"/>
      <c r="H82" s="16">
        <v>2098741795</v>
      </c>
      <c r="I82" s="16">
        <v>2209094900</v>
      </c>
      <c r="J82" s="16">
        <v>2208226614</v>
      </c>
      <c r="K82" s="16">
        <f t="shared" si="1"/>
        <v>868286</v>
      </c>
    </row>
    <row r="83" spans="1:11" ht="15.75">
      <c r="A83" s="13"/>
      <c r="B83" s="14" t="s">
        <v>75</v>
      </c>
      <c r="C83" s="184"/>
      <c r="D83" s="19" t="s">
        <v>89</v>
      </c>
      <c r="E83" s="37"/>
      <c r="F83" s="21" t="s">
        <v>85</v>
      </c>
      <c r="G83" s="21"/>
      <c r="H83" s="16">
        <v>54525312</v>
      </c>
      <c r="I83" s="16">
        <v>54525312</v>
      </c>
      <c r="J83" s="16">
        <v>54525312</v>
      </c>
      <c r="K83" s="20">
        <f t="shared" si="1"/>
        <v>0</v>
      </c>
    </row>
    <row r="84" spans="1:11" ht="15.75">
      <c r="A84" s="10">
        <v>24</v>
      </c>
      <c r="B84" s="11" t="s">
        <v>35</v>
      </c>
      <c r="C84" s="182" t="s">
        <v>12</v>
      </c>
      <c r="D84" s="12"/>
      <c r="E84" s="34">
        <v>2500000000</v>
      </c>
      <c r="F84" s="10"/>
      <c r="G84" s="10"/>
      <c r="H84" s="11"/>
      <c r="I84" s="11"/>
      <c r="J84" s="11"/>
      <c r="K84" s="42">
        <f t="shared" si="1"/>
        <v>0</v>
      </c>
    </row>
    <row r="85" spans="1:11" ht="15.75">
      <c r="A85" s="13"/>
      <c r="B85" s="14" t="s">
        <v>6</v>
      </c>
      <c r="C85" s="183"/>
      <c r="D85" s="15" t="s">
        <v>88</v>
      </c>
      <c r="E85" s="37"/>
      <c r="F85" s="13" t="s">
        <v>83</v>
      </c>
      <c r="G85" s="13"/>
      <c r="H85" s="16">
        <v>2367166559</v>
      </c>
      <c r="I85" s="16">
        <v>2390836844</v>
      </c>
      <c r="J85" s="16">
        <v>2385377128</v>
      </c>
      <c r="K85" s="16">
        <f t="shared" si="1"/>
        <v>5459716</v>
      </c>
    </row>
    <row r="86" spans="1:11" ht="15.75">
      <c r="A86" s="13"/>
      <c r="B86" s="14" t="s">
        <v>75</v>
      </c>
      <c r="C86" s="184"/>
      <c r="D86" s="19" t="s">
        <v>89</v>
      </c>
      <c r="E86" s="37"/>
      <c r="F86" s="21" t="s">
        <v>85</v>
      </c>
      <c r="G86" s="21"/>
      <c r="H86" s="16">
        <v>56862894</v>
      </c>
      <c r="I86" s="16">
        <v>56862894</v>
      </c>
      <c r="J86" s="16">
        <v>56862894</v>
      </c>
      <c r="K86" s="20">
        <f t="shared" si="1"/>
        <v>0</v>
      </c>
    </row>
    <row r="87" spans="1:11" ht="15.75">
      <c r="A87" s="10">
        <v>25</v>
      </c>
      <c r="B87" s="11" t="s">
        <v>36</v>
      </c>
      <c r="C87" s="182" t="s">
        <v>12</v>
      </c>
      <c r="D87" s="12"/>
      <c r="E87" s="34">
        <v>1800000000</v>
      </c>
      <c r="F87" s="10"/>
      <c r="G87" s="10"/>
      <c r="H87" s="11"/>
      <c r="I87" s="11"/>
      <c r="J87" s="11"/>
      <c r="K87" s="42">
        <f t="shared" si="1"/>
        <v>0</v>
      </c>
    </row>
    <row r="88" spans="1:11" ht="15.75">
      <c r="A88" s="13"/>
      <c r="B88" s="14" t="s">
        <v>6</v>
      </c>
      <c r="C88" s="183"/>
      <c r="D88" s="15" t="s">
        <v>88</v>
      </c>
      <c r="E88" s="37"/>
      <c r="F88" s="13" t="s">
        <v>83</v>
      </c>
      <c r="G88" s="13"/>
      <c r="H88" s="16">
        <v>1485323756</v>
      </c>
      <c r="I88" s="16">
        <v>1525066864</v>
      </c>
      <c r="J88" s="16">
        <v>1521968930</v>
      </c>
      <c r="K88" s="16">
        <f t="shared" si="1"/>
        <v>3097934</v>
      </c>
    </row>
    <row r="89" spans="1:11" ht="15.75">
      <c r="A89" s="13"/>
      <c r="B89" s="14" t="s">
        <v>75</v>
      </c>
      <c r="C89" s="186"/>
      <c r="D89" s="19" t="s">
        <v>89</v>
      </c>
      <c r="E89" s="37"/>
      <c r="F89" s="13" t="s">
        <v>84</v>
      </c>
      <c r="G89" s="13"/>
      <c r="H89" s="16">
        <v>48792886</v>
      </c>
      <c r="I89" s="16">
        <v>48792886</v>
      </c>
      <c r="J89" s="16">
        <v>48792886</v>
      </c>
      <c r="K89" s="16">
        <f t="shared" si="1"/>
        <v>0</v>
      </c>
    </row>
    <row r="90" spans="1:11" ht="15.75">
      <c r="A90" s="13"/>
      <c r="B90" s="14" t="s">
        <v>78</v>
      </c>
      <c r="C90" s="184"/>
      <c r="D90" s="19" t="s">
        <v>89</v>
      </c>
      <c r="E90" s="37"/>
      <c r="F90" s="13" t="s">
        <v>84</v>
      </c>
      <c r="G90" s="13"/>
      <c r="H90" s="16">
        <v>3849959</v>
      </c>
      <c r="I90" s="16">
        <v>3849959</v>
      </c>
      <c r="J90" s="16">
        <v>3849959</v>
      </c>
      <c r="K90" s="20">
        <f t="shared" si="1"/>
        <v>0</v>
      </c>
    </row>
    <row r="91" spans="1:11" ht="31.5">
      <c r="A91" s="10">
        <v>26</v>
      </c>
      <c r="B91" s="11" t="s">
        <v>37</v>
      </c>
      <c r="C91" s="182" t="s">
        <v>12</v>
      </c>
      <c r="D91" s="12"/>
      <c r="E91" s="34">
        <v>2500000000</v>
      </c>
      <c r="F91" s="10"/>
      <c r="G91" s="10"/>
      <c r="H91" s="11"/>
      <c r="I91" s="11"/>
      <c r="J91" s="11"/>
      <c r="K91" s="42">
        <f t="shared" si="1"/>
        <v>0</v>
      </c>
    </row>
    <row r="92" spans="1:11" ht="15.75">
      <c r="A92" s="13"/>
      <c r="B92" s="14" t="s">
        <v>6</v>
      </c>
      <c r="C92" s="183"/>
      <c r="D92" s="15" t="s">
        <v>88</v>
      </c>
      <c r="E92" s="37"/>
      <c r="F92" s="13" t="s">
        <v>86</v>
      </c>
      <c r="G92" s="13"/>
      <c r="H92" s="16">
        <v>7955388113</v>
      </c>
      <c r="I92" s="16">
        <v>8317733030</v>
      </c>
      <c r="J92" s="16">
        <v>8307564251</v>
      </c>
      <c r="K92" s="16">
        <f t="shared" si="1"/>
        <v>10168779</v>
      </c>
    </row>
    <row r="93" spans="1:11" ht="15.75">
      <c r="A93" s="13"/>
      <c r="B93" s="14" t="s">
        <v>75</v>
      </c>
      <c r="C93" s="184"/>
      <c r="D93" s="19" t="s">
        <v>89</v>
      </c>
      <c r="E93" s="37"/>
      <c r="F93" s="13" t="s">
        <v>84</v>
      </c>
      <c r="G93" s="13"/>
      <c r="H93" s="16">
        <v>254811082</v>
      </c>
      <c r="I93" s="16">
        <v>254811082</v>
      </c>
      <c r="J93" s="16">
        <v>254811082</v>
      </c>
      <c r="K93" s="20">
        <f t="shared" si="1"/>
        <v>0</v>
      </c>
    </row>
    <row r="94" spans="1:11" ht="47.25">
      <c r="A94" s="10">
        <v>27</v>
      </c>
      <c r="B94" s="11" t="s">
        <v>38</v>
      </c>
      <c r="C94" s="182" t="s">
        <v>39</v>
      </c>
      <c r="D94" s="12"/>
      <c r="E94" s="34">
        <v>2864860000</v>
      </c>
      <c r="F94" s="10"/>
      <c r="G94" s="10"/>
      <c r="H94" s="11"/>
      <c r="I94" s="11"/>
      <c r="J94" s="11"/>
      <c r="K94" s="42">
        <f t="shared" si="1"/>
        <v>0</v>
      </c>
    </row>
    <row r="95" spans="1:11" ht="15.75">
      <c r="A95" s="13"/>
      <c r="B95" s="14" t="s">
        <v>143</v>
      </c>
      <c r="C95" s="183"/>
      <c r="D95" s="15" t="s">
        <v>142</v>
      </c>
      <c r="E95" s="35"/>
      <c r="F95" s="13" t="s">
        <v>83</v>
      </c>
      <c r="G95" s="13"/>
      <c r="H95" s="16"/>
      <c r="I95" s="16">
        <v>2200992000</v>
      </c>
      <c r="J95" s="16">
        <v>2192774600</v>
      </c>
      <c r="K95" s="16">
        <f aca="true" t="shared" si="2" ref="K95:K101">I95-J95</f>
        <v>8217400</v>
      </c>
    </row>
    <row r="96" spans="1:11" ht="15.75">
      <c r="A96" s="13"/>
      <c r="B96" s="14" t="s">
        <v>144</v>
      </c>
      <c r="C96" s="186"/>
      <c r="D96" s="15" t="s">
        <v>142</v>
      </c>
      <c r="E96" s="37"/>
      <c r="F96" s="13" t="s">
        <v>84</v>
      </c>
      <c r="G96" s="13"/>
      <c r="H96" s="16"/>
      <c r="I96" s="16">
        <v>100000000</v>
      </c>
      <c r="J96" s="16">
        <v>100000000</v>
      </c>
      <c r="K96" s="16">
        <f t="shared" si="2"/>
        <v>0</v>
      </c>
    </row>
    <row r="97" spans="1:11" ht="15.75">
      <c r="A97" s="13"/>
      <c r="B97" s="14" t="s">
        <v>141</v>
      </c>
      <c r="C97" s="184"/>
      <c r="D97" s="24" t="s">
        <v>89</v>
      </c>
      <c r="E97" s="37"/>
      <c r="F97" s="13" t="s">
        <v>84</v>
      </c>
      <c r="G97" s="13"/>
      <c r="H97" s="16"/>
      <c r="I97" s="16">
        <v>3755000</v>
      </c>
      <c r="J97" s="16">
        <v>3755000</v>
      </c>
      <c r="K97" s="20">
        <f t="shared" si="2"/>
        <v>0</v>
      </c>
    </row>
    <row r="98" spans="1:11" ht="63">
      <c r="A98" s="10">
        <v>28</v>
      </c>
      <c r="B98" s="11" t="s">
        <v>138</v>
      </c>
      <c r="C98" s="182" t="s">
        <v>39</v>
      </c>
      <c r="D98" s="72"/>
      <c r="E98" s="34"/>
      <c r="F98" s="10"/>
      <c r="G98" s="10"/>
      <c r="H98" s="11"/>
      <c r="I98" s="11"/>
      <c r="J98" s="11"/>
      <c r="K98" s="42">
        <f t="shared" si="2"/>
        <v>0</v>
      </c>
    </row>
    <row r="99" spans="1:11" ht="15.75">
      <c r="A99" s="13"/>
      <c r="B99" s="14" t="s">
        <v>139</v>
      </c>
      <c r="C99" s="183"/>
      <c r="D99" s="73" t="s">
        <v>142</v>
      </c>
      <c r="E99" s="35"/>
      <c r="F99" s="13" t="s">
        <v>83</v>
      </c>
      <c r="G99" s="13"/>
      <c r="H99" s="16">
        <v>1512141500</v>
      </c>
      <c r="I99" s="16">
        <v>1512141500</v>
      </c>
      <c r="J99" s="16">
        <v>1496117880</v>
      </c>
      <c r="K99" s="16">
        <f t="shared" si="2"/>
        <v>16023620</v>
      </c>
    </row>
    <row r="100" spans="1:11" ht="15.75">
      <c r="A100" s="13"/>
      <c r="B100" s="14" t="s">
        <v>140</v>
      </c>
      <c r="C100" s="186"/>
      <c r="D100" s="73" t="s">
        <v>89</v>
      </c>
      <c r="E100" s="37"/>
      <c r="F100" s="13" t="s">
        <v>84</v>
      </c>
      <c r="G100" s="13"/>
      <c r="H100" s="16">
        <v>46660000</v>
      </c>
      <c r="I100" s="16">
        <v>46660000</v>
      </c>
      <c r="J100" s="16">
        <v>46660000</v>
      </c>
      <c r="K100" s="16">
        <f t="shared" si="2"/>
        <v>0</v>
      </c>
    </row>
    <row r="101" spans="1:11" ht="15.75">
      <c r="A101" s="13"/>
      <c r="B101" s="14" t="s">
        <v>141</v>
      </c>
      <c r="C101" s="184"/>
      <c r="D101" s="74" t="s">
        <v>89</v>
      </c>
      <c r="E101" s="37"/>
      <c r="F101" s="13" t="s">
        <v>84</v>
      </c>
      <c r="G101" s="13"/>
      <c r="H101" s="16">
        <v>2749348</v>
      </c>
      <c r="I101" s="16">
        <v>2749348</v>
      </c>
      <c r="J101" s="16">
        <v>2749348</v>
      </c>
      <c r="K101" s="16">
        <f t="shared" si="2"/>
        <v>0</v>
      </c>
    </row>
    <row r="102" spans="1:11" ht="15.75">
      <c r="A102" s="10">
        <v>29</v>
      </c>
      <c r="B102" s="11" t="s">
        <v>40</v>
      </c>
      <c r="C102" s="182" t="s">
        <v>12</v>
      </c>
      <c r="D102" s="12"/>
      <c r="E102" s="34">
        <v>2700000000</v>
      </c>
      <c r="F102" s="10"/>
      <c r="G102" s="10"/>
      <c r="H102" s="11"/>
      <c r="I102" s="11"/>
      <c r="J102" s="11"/>
      <c r="K102" s="42">
        <f t="shared" si="1"/>
        <v>0</v>
      </c>
    </row>
    <row r="103" spans="1:11" ht="15.75">
      <c r="A103" s="13"/>
      <c r="B103" s="14" t="s">
        <v>6</v>
      </c>
      <c r="C103" s="183"/>
      <c r="D103" s="15" t="s">
        <v>88</v>
      </c>
      <c r="E103" s="37"/>
      <c r="F103" s="13" t="s">
        <v>83</v>
      </c>
      <c r="G103" s="13"/>
      <c r="H103" s="16">
        <v>2348858239</v>
      </c>
      <c r="I103" s="16">
        <v>2383628670</v>
      </c>
      <c r="J103" s="16">
        <v>2381821992</v>
      </c>
      <c r="K103" s="16">
        <f t="shared" si="1"/>
        <v>1806678</v>
      </c>
    </row>
    <row r="104" spans="1:11" ht="15.75">
      <c r="A104" s="13"/>
      <c r="B104" s="14" t="s">
        <v>75</v>
      </c>
      <c r="C104" s="186"/>
      <c r="D104" s="19" t="s">
        <v>89</v>
      </c>
      <c r="E104" s="37"/>
      <c r="F104" s="13" t="s">
        <v>84</v>
      </c>
      <c r="G104" s="13"/>
      <c r="H104" s="16">
        <v>77159993</v>
      </c>
      <c r="I104" s="16">
        <v>77159993</v>
      </c>
      <c r="J104" s="16">
        <v>77159993</v>
      </c>
      <c r="K104" s="16">
        <f t="shared" si="1"/>
        <v>0</v>
      </c>
    </row>
    <row r="105" spans="1:11" ht="15.75">
      <c r="A105" s="13"/>
      <c r="B105" s="14" t="s">
        <v>78</v>
      </c>
      <c r="C105" s="184"/>
      <c r="D105" s="19" t="s">
        <v>89</v>
      </c>
      <c r="E105" s="37"/>
      <c r="F105" s="13" t="s">
        <v>84</v>
      </c>
      <c r="G105" s="13"/>
      <c r="H105" s="16">
        <v>6088240</v>
      </c>
      <c r="I105" s="16">
        <v>6088240</v>
      </c>
      <c r="J105" s="16">
        <v>6088240</v>
      </c>
      <c r="K105" s="20">
        <f t="shared" si="1"/>
        <v>0</v>
      </c>
    </row>
    <row r="106" spans="1:11" ht="31.5">
      <c r="A106" s="10">
        <v>30</v>
      </c>
      <c r="B106" s="11" t="s">
        <v>41</v>
      </c>
      <c r="C106" s="182" t="s">
        <v>12</v>
      </c>
      <c r="D106" s="12"/>
      <c r="E106" s="34">
        <v>4800000000</v>
      </c>
      <c r="F106" s="10"/>
      <c r="G106" s="10"/>
      <c r="H106" s="11"/>
      <c r="I106" s="11"/>
      <c r="J106" s="11"/>
      <c r="K106" s="42">
        <f t="shared" si="1"/>
        <v>0</v>
      </c>
    </row>
    <row r="107" spans="1:11" ht="15.75">
      <c r="A107" s="13"/>
      <c r="B107" s="14" t="s">
        <v>6</v>
      </c>
      <c r="C107" s="183"/>
      <c r="D107" s="15" t="s">
        <v>88</v>
      </c>
      <c r="E107" s="37"/>
      <c r="F107" s="13" t="s">
        <v>83</v>
      </c>
      <c r="G107" s="13"/>
      <c r="H107" s="16">
        <v>3860886423</v>
      </c>
      <c r="I107" s="16">
        <v>3860886423</v>
      </c>
      <c r="J107" s="16">
        <v>3844090473</v>
      </c>
      <c r="K107" s="16">
        <f t="shared" si="1"/>
        <v>16795950</v>
      </c>
    </row>
    <row r="108" spans="1:11" ht="15.75">
      <c r="A108" s="13"/>
      <c r="B108" s="14" t="s">
        <v>75</v>
      </c>
      <c r="C108" s="184"/>
      <c r="D108" s="19" t="s">
        <v>89</v>
      </c>
      <c r="E108" s="37"/>
      <c r="F108" s="13" t="s">
        <v>84</v>
      </c>
      <c r="G108" s="13"/>
      <c r="H108" s="16">
        <v>99070346</v>
      </c>
      <c r="I108" s="16">
        <v>99070346</v>
      </c>
      <c r="J108" s="16">
        <v>99070346</v>
      </c>
      <c r="K108" s="20">
        <f t="shared" si="1"/>
        <v>0</v>
      </c>
    </row>
    <row r="109" spans="1:11" ht="31.5">
      <c r="A109" s="10">
        <v>31</v>
      </c>
      <c r="B109" s="11" t="s">
        <v>42</v>
      </c>
      <c r="C109" s="182" t="s">
        <v>12</v>
      </c>
      <c r="D109" s="12"/>
      <c r="E109" s="34">
        <v>3000000000</v>
      </c>
      <c r="F109" s="10"/>
      <c r="G109" s="10"/>
      <c r="H109" s="11"/>
      <c r="I109" s="11"/>
      <c r="J109" s="11"/>
      <c r="K109" s="42">
        <f t="shared" si="1"/>
        <v>0</v>
      </c>
    </row>
    <row r="110" spans="1:11" ht="15.75">
      <c r="A110" s="13"/>
      <c r="B110" s="14" t="s">
        <v>6</v>
      </c>
      <c r="C110" s="183"/>
      <c r="D110" s="15" t="s">
        <v>88</v>
      </c>
      <c r="E110" s="37"/>
      <c r="F110" s="13" t="s">
        <v>83</v>
      </c>
      <c r="G110" s="13"/>
      <c r="H110" s="16">
        <v>2467024492</v>
      </c>
      <c r="I110" s="16">
        <v>2640217162</v>
      </c>
      <c r="J110" s="16">
        <v>2634265749</v>
      </c>
      <c r="K110" s="16">
        <f t="shared" si="1"/>
        <v>5951413</v>
      </c>
    </row>
    <row r="111" spans="1:11" ht="15.75">
      <c r="A111" s="13"/>
      <c r="B111" s="14" t="s">
        <v>75</v>
      </c>
      <c r="C111" s="184"/>
      <c r="D111" s="19" t="s">
        <v>89</v>
      </c>
      <c r="E111" s="37"/>
      <c r="F111" s="13" t="s">
        <v>84</v>
      </c>
      <c r="G111" s="13"/>
      <c r="H111" s="16">
        <v>64093296</v>
      </c>
      <c r="I111" s="16">
        <v>64093296</v>
      </c>
      <c r="J111" s="16">
        <v>64093296</v>
      </c>
      <c r="K111" s="16">
        <f t="shared" si="1"/>
        <v>0</v>
      </c>
    </row>
    <row r="112" spans="1:11" ht="31.5">
      <c r="A112" s="10">
        <v>32</v>
      </c>
      <c r="B112" s="11" t="s">
        <v>43</v>
      </c>
      <c r="C112" s="182" t="s">
        <v>12</v>
      </c>
      <c r="D112" s="12"/>
      <c r="E112" s="34">
        <v>8300000000</v>
      </c>
      <c r="F112" s="10"/>
      <c r="G112" s="10"/>
      <c r="H112" s="11"/>
      <c r="I112" s="11"/>
      <c r="J112" s="11"/>
      <c r="K112" s="16">
        <f t="shared" si="1"/>
        <v>0</v>
      </c>
    </row>
    <row r="113" spans="1:11" ht="15.75">
      <c r="A113" s="13"/>
      <c r="B113" s="14" t="s">
        <v>6</v>
      </c>
      <c r="C113" s="183"/>
      <c r="D113" s="15" t="s">
        <v>88</v>
      </c>
      <c r="E113" s="37"/>
      <c r="F113" s="13" t="s">
        <v>83</v>
      </c>
      <c r="G113" s="13"/>
      <c r="H113" s="16">
        <v>6967338071</v>
      </c>
      <c r="I113" s="16">
        <v>7111191653</v>
      </c>
      <c r="J113" s="16">
        <v>7093392290</v>
      </c>
      <c r="K113" s="16">
        <f t="shared" si="1"/>
        <v>17799363</v>
      </c>
    </row>
    <row r="114" spans="1:11" ht="15.75">
      <c r="A114" s="13"/>
      <c r="B114" s="14" t="s">
        <v>7</v>
      </c>
      <c r="C114" s="184"/>
      <c r="D114" s="19" t="s">
        <v>89</v>
      </c>
      <c r="E114" s="37"/>
      <c r="F114" s="13" t="s">
        <v>84</v>
      </c>
      <c r="G114" s="13"/>
      <c r="H114" s="16">
        <v>223163839</v>
      </c>
      <c r="I114" s="16">
        <v>223163839</v>
      </c>
      <c r="J114" s="16">
        <v>223163839</v>
      </c>
      <c r="K114" s="20">
        <f t="shared" si="1"/>
        <v>0</v>
      </c>
    </row>
    <row r="115" spans="1:11" ht="15.75">
      <c r="A115" s="10">
        <v>33</v>
      </c>
      <c r="B115" s="11" t="s">
        <v>44</v>
      </c>
      <c r="C115" s="182" t="s">
        <v>12</v>
      </c>
      <c r="D115" s="12"/>
      <c r="E115" s="34">
        <v>950000000</v>
      </c>
      <c r="F115" s="10"/>
      <c r="G115" s="10"/>
      <c r="H115" s="11"/>
      <c r="I115" s="11"/>
      <c r="J115" s="11"/>
      <c r="K115" s="54">
        <f t="shared" si="1"/>
        <v>0</v>
      </c>
    </row>
    <row r="116" spans="1:11" ht="15.75">
      <c r="A116" s="15"/>
      <c r="B116" s="26" t="s">
        <v>6</v>
      </c>
      <c r="C116" s="183"/>
      <c r="D116" s="15" t="s">
        <v>88</v>
      </c>
      <c r="E116" s="37"/>
      <c r="F116" s="15" t="s">
        <v>84</v>
      </c>
      <c r="G116" s="57" t="s">
        <v>145</v>
      </c>
      <c r="H116" s="27">
        <v>782769294</v>
      </c>
      <c r="I116" s="27">
        <v>786678385</v>
      </c>
      <c r="J116" s="27">
        <v>786678385</v>
      </c>
      <c r="K116" s="27">
        <f t="shared" si="1"/>
        <v>0</v>
      </c>
    </row>
    <row r="117" spans="1:11" ht="15.75">
      <c r="A117" s="110"/>
      <c r="B117" s="26" t="s">
        <v>147</v>
      </c>
      <c r="C117" s="186"/>
      <c r="D117" s="111" t="s">
        <v>89</v>
      </c>
      <c r="E117" s="37"/>
      <c r="F117" s="110" t="s">
        <v>84</v>
      </c>
      <c r="G117" s="57"/>
      <c r="H117" s="27">
        <v>54455003.900000006</v>
      </c>
      <c r="I117" s="27">
        <v>54455003.900000006</v>
      </c>
      <c r="J117" s="27">
        <v>54455003.900000006</v>
      </c>
      <c r="K117" s="122"/>
    </row>
    <row r="118" spans="1:11" ht="15.75">
      <c r="A118" s="110"/>
      <c r="B118" s="26" t="s">
        <v>148</v>
      </c>
      <c r="C118" s="186"/>
      <c r="D118" s="111" t="s">
        <v>89</v>
      </c>
      <c r="E118" s="37"/>
      <c r="F118" s="110" t="s">
        <v>84</v>
      </c>
      <c r="G118" s="57"/>
      <c r="H118" s="27">
        <v>4400000</v>
      </c>
      <c r="I118" s="27">
        <v>4400000</v>
      </c>
      <c r="J118" s="27">
        <v>4400000</v>
      </c>
      <c r="K118" s="122"/>
    </row>
    <row r="119" spans="1:11" ht="15.75">
      <c r="A119" s="15"/>
      <c r="B119" s="26" t="s">
        <v>75</v>
      </c>
      <c r="C119" s="184"/>
      <c r="D119" s="19" t="s">
        <v>89</v>
      </c>
      <c r="E119" s="37"/>
      <c r="F119" s="15" t="s">
        <v>84</v>
      </c>
      <c r="G119" s="73"/>
      <c r="H119" s="27">
        <v>27520722</v>
      </c>
      <c r="I119" s="27">
        <v>27520722</v>
      </c>
      <c r="J119" s="27">
        <v>27520722</v>
      </c>
      <c r="K119" s="29">
        <f t="shared" si="1"/>
        <v>0</v>
      </c>
    </row>
    <row r="120" spans="1:11" ht="31.5">
      <c r="A120" s="10">
        <v>34</v>
      </c>
      <c r="B120" s="11" t="s">
        <v>45</v>
      </c>
      <c r="C120" s="182" t="s">
        <v>12</v>
      </c>
      <c r="D120" s="12"/>
      <c r="E120" s="34">
        <v>6000000000</v>
      </c>
      <c r="F120" s="10"/>
      <c r="G120" s="10"/>
      <c r="H120" s="11"/>
      <c r="I120" s="11"/>
      <c r="J120" s="11"/>
      <c r="K120" s="42">
        <f t="shared" si="1"/>
        <v>0</v>
      </c>
    </row>
    <row r="121" spans="1:11" ht="15.75">
      <c r="A121" s="13"/>
      <c r="B121" s="14" t="s">
        <v>6</v>
      </c>
      <c r="C121" s="183"/>
      <c r="D121" s="15" t="s">
        <v>88</v>
      </c>
      <c r="E121" s="37"/>
      <c r="F121" s="13" t="s">
        <v>86</v>
      </c>
      <c r="G121" s="13"/>
      <c r="H121" s="16">
        <v>5200560725</v>
      </c>
      <c r="I121" s="16">
        <v>5200560725</v>
      </c>
      <c r="J121" s="16">
        <v>5193057927</v>
      </c>
      <c r="K121" s="16">
        <f t="shared" si="1"/>
        <v>7502798</v>
      </c>
    </row>
    <row r="122" spans="1:11" ht="15.75">
      <c r="A122" s="13"/>
      <c r="B122" s="26" t="s">
        <v>147</v>
      </c>
      <c r="C122" s="186"/>
      <c r="D122" s="111" t="s">
        <v>89</v>
      </c>
      <c r="E122" s="37"/>
      <c r="F122" s="110" t="s">
        <v>84</v>
      </c>
      <c r="G122" s="13"/>
      <c r="H122" s="16">
        <f>19465097+217591461</f>
        <v>237056558</v>
      </c>
      <c r="I122" s="16">
        <f>19465097+217591461</f>
        <v>237056558</v>
      </c>
      <c r="J122" s="16">
        <f>19465097+217591461</f>
        <v>237056558</v>
      </c>
      <c r="K122" s="25"/>
    </row>
    <row r="123" spans="1:11" ht="15.75">
      <c r="A123" s="13"/>
      <c r="B123" s="26" t="s">
        <v>148</v>
      </c>
      <c r="C123" s="186"/>
      <c r="D123" s="111" t="s">
        <v>89</v>
      </c>
      <c r="E123" s="37"/>
      <c r="F123" s="110" t="s">
        <v>84</v>
      </c>
      <c r="G123" s="13"/>
      <c r="H123" s="16">
        <f>9829060+9517026</f>
        <v>19346086</v>
      </c>
      <c r="I123" s="16">
        <f>9829060+9517026</f>
        <v>19346086</v>
      </c>
      <c r="J123" s="16">
        <f>9829060+9517026</f>
        <v>19346086</v>
      </c>
      <c r="K123" s="25"/>
    </row>
    <row r="124" spans="1:11" ht="15.75">
      <c r="A124" s="13"/>
      <c r="B124" s="14" t="s">
        <v>75</v>
      </c>
      <c r="C124" s="184"/>
      <c r="D124" s="19" t="s">
        <v>89</v>
      </c>
      <c r="E124" s="37"/>
      <c r="F124" s="13" t="s">
        <v>84</v>
      </c>
      <c r="G124" s="13"/>
      <c r="H124" s="16">
        <v>135110568</v>
      </c>
      <c r="I124" s="16">
        <v>135110568</v>
      </c>
      <c r="J124" s="16">
        <v>135110568</v>
      </c>
      <c r="K124" s="20">
        <f t="shared" si="1"/>
        <v>0</v>
      </c>
    </row>
    <row r="125" spans="1:11" ht="15.75">
      <c r="A125" s="10">
        <v>35</v>
      </c>
      <c r="B125" s="11" t="s">
        <v>46</v>
      </c>
      <c r="C125" s="182" t="s">
        <v>50</v>
      </c>
      <c r="D125" s="109"/>
      <c r="E125" s="34">
        <v>45000000000</v>
      </c>
      <c r="F125" s="10"/>
      <c r="G125" s="10"/>
      <c r="H125" s="11"/>
      <c r="I125" s="11"/>
      <c r="J125" s="11"/>
      <c r="K125" s="43">
        <f t="shared" si="1"/>
        <v>0</v>
      </c>
    </row>
    <row r="126" spans="1:11" ht="15.75">
      <c r="A126" s="13"/>
      <c r="B126" s="14" t="s">
        <v>47</v>
      </c>
      <c r="C126" s="183"/>
      <c r="D126" s="110" t="s">
        <v>89</v>
      </c>
      <c r="E126" s="37"/>
      <c r="F126" s="13" t="s">
        <v>86</v>
      </c>
      <c r="G126" s="13"/>
      <c r="H126" s="16">
        <v>1222544858</v>
      </c>
      <c r="I126" s="16">
        <v>1222544858</v>
      </c>
      <c r="J126" s="16">
        <v>1221673112</v>
      </c>
      <c r="K126" s="16">
        <f t="shared" si="1"/>
        <v>871746</v>
      </c>
    </row>
    <row r="127" spans="1:11" ht="15.75">
      <c r="A127" s="13"/>
      <c r="B127" s="14" t="s">
        <v>48</v>
      </c>
      <c r="C127" s="183"/>
      <c r="D127" s="110" t="s">
        <v>89</v>
      </c>
      <c r="E127" s="37"/>
      <c r="F127" s="13" t="s">
        <v>84</v>
      </c>
      <c r="G127" s="13"/>
      <c r="H127" s="16">
        <v>137791569</v>
      </c>
      <c r="I127" s="16">
        <v>137791569</v>
      </c>
      <c r="J127" s="16">
        <v>137791569</v>
      </c>
      <c r="K127" s="16">
        <f t="shared" si="1"/>
        <v>0</v>
      </c>
    </row>
    <row r="128" spans="1:11" ht="31.5">
      <c r="A128" s="13"/>
      <c r="B128" s="14" t="s">
        <v>49</v>
      </c>
      <c r="C128" s="184"/>
      <c r="D128" s="112" t="s">
        <v>89</v>
      </c>
      <c r="E128" s="37"/>
      <c r="F128" s="13" t="s">
        <v>84</v>
      </c>
      <c r="G128" s="13"/>
      <c r="H128" s="16">
        <v>230000000</v>
      </c>
      <c r="I128" s="16">
        <v>230000000</v>
      </c>
      <c r="J128" s="16">
        <v>230000000</v>
      </c>
      <c r="K128" s="16">
        <f t="shared" si="1"/>
        <v>0</v>
      </c>
    </row>
    <row r="129" spans="1:11" ht="47.25">
      <c r="A129" s="10">
        <v>36</v>
      </c>
      <c r="B129" s="11" t="s">
        <v>51</v>
      </c>
      <c r="C129" s="182" t="s">
        <v>12</v>
      </c>
      <c r="D129" s="12"/>
      <c r="E129" s="34">
        <v>14950000000</v>
      </c>
      <c r="F129" s="10"/>
      <c r="G129" s="10"/>
      <c r="H129" s="11"/>
      <c r="I129" s="11"/>
      <c r="J129" s="11"/>
      <c r="K129" s="16">
        <f t="shared" si="1"/>
        <v>0</v>
      </c>
    </row>
    <row r="130" spans="1:11" ht="15.75">
      <c r="A130" s="13"/>
      <c r="B130" s="14" t="s">
        <v>6</v>
      </c>
      <c r="C130" s="183"/>
      <c r="D130" s="15" t="s">
        <v>88</v>
      </c>
      <c r="E130" s="37"/>
      <c r="F130" s="13" t="s">
        <v>86</v>
      </c>
      <c r="G130" s="13"/>
      <c r="H130" s="16">
        <v>12942515237</v>
      </c>
      <c r="I130" s="16">
        <v>12942515237</v>
      </c>
      <c r="J130" s="16">
        <v>12925920000</v>
      </c>
      <c r="K130" s="16">
        <f t="shared" si="1"/>
        <v>16595237</v>
      </c>
    </row>
    <row r="131" spans="1:11" ht="15.75">
      <c r="A131" s="13"/>
      <c r="B131" s="26" t="s">
        <v>147</v>
      </c>
      <c r="C131" s="186"/>
      <c r="D131" s="111" t="s">
        <v>89</v>
      </c>
      <c r="E131" s="37"/>
      <c r="F131" s="13" t="s">
        <v>84</v>
      </c>
      <c r="G131" s="13"/>
      <c r="H131" s="16">
        <v>491566480</v>
      </c>
      <c r="I131" s="16">
        <v>491566480</v>
      </c>
      <c r="J131" s="16">
        <v>491566480</v>
      </c>
      <c r="K131" s="16"/>
    </row>
    <row r="132" spans="1:11" ht="15.75">
      <c r="A132" s="13"/>
      <c r="B132" s="26" t="s">
        <v>148</v>
      </c>
      <c r="C132" s="186"/>
      <c r="D132" s="111" t="s">
        <v>89</v>
      </c>
      <c r="E132" s="37"/>
      <c r="F132" s="13" t="s">
        <v>84</v>
      </c>
      <c r="G132" s="13"/>
      <c r="H132" s="16">
        <v>46891330</v>
      </c>
      <c r="I132" s="16">
        <v>46891330</v>
      </c>
      <c r="J132" s="16">
        <v>46891330</v>
      </c>
      <c r="K132" s="16"/>
    </row>
    <row r="133" spans="1:11" ht="15.75">
      <c r="A133" s="13"/>
      <c r="B133" s="14" t="s">
        <v>75</v>
      </c>
      <c r="C133" s="186"/>
      <c r="D133" s="19" t="s">
        <v>89</v>
      </c>
      <c r="E133" s="37"/>
      <c r="F133" s="13" t="s">
        <v>84</v>
      </c>
      <c r="G133" s="13"/>
      <c r="H133" s="16">
        <v>329257588</v>
      </c>
      <c r="I133" s="16">
        <v>329257588</v>
      </c>
      <c r="J133" s="16">
        <v>329257588</v>
      </c>
      <c r="K133" s="16">
        <f t="shared" si="1"/>
        <v>0</v>
      </c>
    </row>
    <row r="134" spans="1:11" ht="15.75">
      <c r="A134" s="13"/>
      <c r="B134" s="14" t="s">
        <v>52</v>
      </c>
      <c r="C134" s="184"/>
      <c r="D134" s="19" t="s">
        <v>89</v>
      </c>
      <c r="E134" s="37"/>
      <c r="F134" s="13" t="s">
        <v>84</v>
      </c>
      <c r="G134" s="13"/>
      <c r="H134" s="16">
        <v>150000000</v>
      </c>
      <c r="I134" s="16">
        <v>150000000</v>
      </c>
      <c r="J134" s="16">
        <v>150000000</v>
      </c>
      <c r="K134" s="20">
        <f t="shared" si="1"/>
        <v>0</v>
      </c>
    </row>
    <row r="135" spans="1:11" ht="15.75">
      <c r="A135" s="10">
        <v>37</v>
      </c>
      <c r="B135" s="11" t="s">
        <v>53</v>
      </c>
      <c r="C135" s="182" t="s">
        <v>12</v>
      </c>
      <c r="D135" s="109"/>
      <c r="E135" s="34">
        <v>33000000000</v>
      </c>
      <c r="F135" s="10"/>
      <c r="G135" s="10"/>
      <c r="H135" s="11"/>
      <c r="I135" s="11"/>
      <c r="J135" s="11"/>
      <c r="K135" s="43">
        <f t="shared" si="1"/>
        <v>0</v>
      </c>
    </row>
    <row r="136" spans="1:11" ht="15.75">
      <c r="A136" s="13"/>
      <c r="B136" s="14" t="s">
        <v>56</v>
      </c>
      <c r="C136" s="183"/>
      <c r="D136" s="110" t="s">
        <v>88</v>
      </c>
      <c r="E136" s="37"/>
      <c r="F136" s="13" t="s">
        <v>86</v>
      </c>
      <c r="G136" s="13"/>
      <c r="H136" s="16">
        <v>14298679379</v>
      </c>
      <c r="I136" s="30">
        <v>13813649633</v>
      </c>
      <c r="J136" s="16">
        <v>13799816154</v>
      </c>
      <c r="K136" s="16">
        <f t="shared" si="1"/>
        <v>13833479</v>
      </c>
    </row>
    <row r="137" spans="1:11" ht="15.75">
      <c r="A137" s="13"/>
      <c r="B137" s="14" t="s">
        <v>54</v>
      </c>
      <c r="C137" s="183"/>
      <c r="D137" s="110" t="s">
        <v>89</v>
      </c>
      <c r="E137" s="37"/>
      <c r="F137" s="13" t="s">
        <v>84</v>
      </c>
      <c r="G137" s="13"/>
      <c r="H137" s="16">
        <v>316080753</v>
      </c>
      <c r="I137" s="31">
        <v>296593844</v>
      </c>
      <c r="J137" s="31">
        <v>296593844</v>
      </c>
      <c r="K137" s="16">
        <f t="shared" si="1"/>
        <v>0</v>
      </c>
    </row>
    <row r="138" spans="1:11" ht="15.75">
      <c r="A138" s="13"/>
      <c r="B138" s="14" t="s">
        <v>55</v>
      </c>
      <c r="C138" s="183"/>
      <c r="D138" s="110" t="s">
        <v>89</v>
      </c>
      <c r="E138" s="37"/>
      <c r="F138" s="13" t="s">
        <v>84</v>
      </c>
      <c r="G138" s="13"/>
      <c r="H138" s="16">
        <v>52501115</v>
      </c>
      <c r="I138" s="31">
        <v>50984154</v>
      </c>
      <c r="J138" s="31">
        <v>50984154</v>
      </c>
      <c r="K138" s="16">
        <f t="shared" si="1"/>
        <v>0</v>
      </c>
    </row>
    <row r="139" spans="1:11" ht="15.75">
      <c r="A139" s="13"/>
      <c r="B139" s="14" t="s">
        <v>57</v>
      </c>
      <c r="C139" s="183"/>
      <c r="D139" s="110" t="s">
        <v>89</v>
      </c>
      <c r="E139" s="37"/>
      <c r="F139" s="13" t="s">
        <v>84</v>
      </c>
      <c r="G139" s="13"/>
      <c r="H139" s="16">
        <v>350189451</v>
      </c>
      <c r="I139" s="31">
        <v>340013670</v>
      </c>
      <c r="J139" s="31">
        <v>340013670</v>
      </c>
      <c r="K139" s="16">
        <f t="shared" si="1"/>
        <v>0</v>
      </c>
    </row>
    <row r="140" spans="1:11" ht="31.5">
      <c r="A140" s="17"/>
      <c r="B140" s="18" t="s">
        <v>58</v>
      </c>
      <c r="C140" s="184"/>
      <c r="D140" s="112" t="s">
        <v>89</v>
      </c>
      <c r="E140" s="38"/>
      <c r="F140" s="17" t="s">
        <v>84</v>
      </c>
      <c r="G140" s="17"/>
      <c r="H140" s="20">
        <v>200000000</v>
      </c>
      <c r="I140" s="118">
        <v>200000000</v>
      </c>
      <c r="J140" s="118">
        <v>200000000</v>
      </c>
      <c r="K140" s="20">
        <f t="shared" si="1"/>
        <v>0</v>
      </c>
    </row>
    <row r="141" spans="1:11" ht="15.75">
      <c r="A141" s="10">
        <v>38</v>
      </c>
      <c r="B141" s="11" t="s">
        <v>59</v>
      </c>
      <c r="C141" s="182" t="s">
        <v>12</v>
      </c>
      <c r="D141" s="109"/>
      <c r="E141" s="34">
        <v>40000000000</v>
      </c>
      <c r="F141" s="10"/>
      <c r="G141" s="10"/>
      <c r="H141" s="11"/>
      <c r="I141" s="11"/>
      <c r="J141" s="11"/>
      <c r="K141" s="43">
        <f t="shared" si="1"/>
        <v>0</v>
      </c>
    </row>
    <row r="142" spans="1:11" ht="15.75">
      <c r="A142" s="13"/>
      <c r="B142" s="14" t="s">
        <v>60</v>
      </c>
      <c r="C142" s="183"/>
      <c r="D142" s="110" t="s">
        <v>89</v>
      </c>
      <c r="E142" s="37"/>
      <c r="F142" s="13" t="s">
        <v>84</v>
      </c>
      <c r="G142" s="13"/>
      <c r="H142" s="16">
        <v>465979496</v>
      </c>
      <c r="I142" s="50">
        <v>465979496</v>
      </c>
      <c r="J142" s="50">
        <v>465979496</v>
      </c>
      <c r="K142" s="16">
        <f t="shared" si="1"/>
        <v>0</v>
      </c>
    </row>
    <row r="143" spans="1:11" ht="15.75">
      <c r="A143" s="13"/>
      <c r="B143" s="14" t="s">
        <v>61</v>
      </c>
      <c r="C143" s="183"/>
      <c r="D143" s="110" t="s">
        <v>89</v>
      </c>
      <c r="E143" s="37"/>
      <c r="F143" s="13" t="s">
        <v>84</v>
      </c>
      <c r="G143" s="13"/>
      <c r="H143" s="16">
        <v>58950475</v>
      </c>
      <c r="I143" s="50">
        <v>58950475</v>
      </c>
      <c r="J143" s="50">
        <v>58950475</v>
      </c>
      <c r="K143" s="16">
        <f t="shared" si="1"/>
        <v>0</v>
      </c>
    </row>
    <row r="144" spans="1:11" ht="31.5">
      <c r="A144" s="13"/>
      <c r="B144" s="14" t="s">
        <v>62</v>
      </c>
      <c r="C144" s="183"/>
      <c r="D144" s="110" t="s">
        <v>89</v>
      </c>
      <c r="E144" s="37"/>
      <c r="F144" s="13" t="s">
        <v>84</v>
      </c>
      <c r="G144" s="13"/>
      <c r="H144" s="16">
        <v>450000000</v>
      </c>
      <c r="I144" s="16">
        <v>450000000</v>
      </c>
      <c r="J144" s="16">
        <v>450000000</v>
      </c>
      <c r="K144" s="16">
        <f t="shared" si="1"/>
        <v>0</v>
      </c>
    </row>
    <row r="145" spans="1:11" ht="15.75">
      <c r="A145" s="13"/>
      <c r="B145" s="14" t="s">
        <v>63</v>
      </c>
      <c r="C145" s="183"/>
      <c r="D145" s="110" t="s">
        <v>88</v>
      </c>
      <c r="E145" s="37"/>
      <c r="F145" s="13" t="s">
        <v>86</v>
      </c>
      <c r="G145" s="13"/>
      <c r="H145" s="16">
        <v>19975126639</v>
      </c>
      <c r="I145" s="16">
        <v>19975126639</v>
      </c>
      <c r="J145" s="16">
        <v>19952929257</v>
      </c>
      <c r="K145" s="16">
        <f t="shared" si="1"/>
        <v>22197382</v>
      </c>
    </row>
    <row r="146" spans="1:11" ht="15.75">
      <c r="A146" s="17"/>
      <c r="B146" s="18" t="s">
        <v>64</v>
      </c>
      <c r="C146" s="184"/>
      <c r="D146" s="112" t="s">
        <v>89</v>
      </c>
      <c r="E146" s="38"/>
      <c r="F146" s="17" t="s">
        <v>84</v>
      </c>
      <c r="G146" s="17"/>
      <c r="H146" s="20">
        <v>497979907</v>
      </c>
      <c r="I146" s="20">
        <v>497979907</v>
      </c>
      <c r="J146" s="20">
        <v>497979907</v>
      </c>
      <c r="K146" s="20">
        <f t="shared" si="1"/>
        <v>0</v>
      </c>
    </row>
    <row r="147" spans="1:11" ht="31.5">
      <c r="A147" s="10">
        <v>39</v>
      </c>
      <c r="B147" s="11" t="s">
        <v>65</v>
      </c>
      <c r="C147" s="182" t="s">
        <v>12</v>
      </c>
      <c r="D147" s="12"/>
      <c r="E147" s="34">
        <v>18000000000</v>
      </c>
      <c r="F147" s="10"/>
      <c r="G147" s="10"/>
      <c r="H147" s="11"/>
      <c r="I147" s="11"/>
      <c r="J147" s="11"/>
      <c r="K147" s="43">
        <f t="shared" si="1"/>
        <v>0</v>
      </c>
    </row>
    <row r="148" spans="1:11" ht="15.75">
      <c r="A148" s="13"/>
      <c r="B148" s="14" t="s">
        <v>66</v>
      </c>
      <c r="C148" s="183"/>
      <c r="D148" s="15" t="s">
        <v>88</v>
      </c>
      <c r="E148" s="37"/>
      <c r="F148" s="13" t="s">
        <v>86</v>
      </c>
      <c r="G148" s="13"/>
      <c r="H148" s="16">
        <v>14925801574</v>
      </c>
      <c r="I148" s="16">
        <v>15212526984</v>
      </c>
      <c r="J148" s="16">
        <v>15203891502</v>
      </c>
      <c r="K148" s="16">
        <f t="shared" si="1"/>
        <v>8635482</v>
      </c>
    </row>
    <row r="149" spans="1:11" ht="15.75">
      <c r="A149" s="13"/>
      <c r="B149" s="14" t="s">
        <v>67</v>
      </c>
      <c r="C149" s="186"/>
      <c r="D149" s="24" t="s">
        <v>88</v>
      </c>
      <c r="E149" s="37"/>
      <c r="F149" s="13" t="s">
        <v>84</v>
      </c>
      <c r="G149" s="57" t="s">
        <v>145</v>
      </c>
      <c r="H149" s="16">
        <v>824557084</v>
      </c>
      <c r="I149" s="31">
        <v>816203810</v>
      </c>
      <c r="J149" s="31">
        <v>816203810</v>
      </c>
      <c r="K149" s="16">
        <f t="shared" si="1"/>
        <v>0</v>
      </c>
    </row>
    <row r="150" spans="1:11" ht="15.75">
      <c r="A150" s="13"/>
      <c r="B150" s="14" t="s">
        <v>68</v>
      </c>
      <c r="C150" s="186"/>
      <c r="D150" s="24" t="s">
        <v>89</v>
      </c>
      <c r="E150" s="37"/>
      <c r="F150" s="13" t="s">
        <v>84</v>
      </c>
      <c r="G150" s="13"/>
      <c r="H150" s="16">
        <v>441913459</v>
      </c>
      <c r="I150" s="31">
        <v>473270459</v>
      </c>
      <c r="J150" s="31">
        <v>473270459</v>
      </c>
      <c r="K150" s="16">
        <f aca="true" t="shared" si="3" ref="K150:K177">I150-J150</f>
        <v>0</v>
      </c>
    </row>
    <row r="151" spans="1:11" ht="31.5">
      <c r="A151" s="13"/>
      <c r="B151" s="14" t="s">
        <v>69</v>
      </c>
      <c r="C151" s="186"/>
      <c r="D151" s="24" t="s">
        <v>89</v>
      </c>
      <c r="E151" s="37"/>
      <c r="F151" s="13" t="s">
        <v>84</v>
      </c>
      <c r="G151" s="13"/>
      <c r="H151" s="16">
        <v>22357865</v>
      </c>
      <c r="I151" s="31">
        <v>46485636</v>
      </c>
      <c r="J151" s="31">
        <v>46485636</v>
      </c>
      <c r="K151" s="16">
        <f t="shared" si="3"/>
        <v>0</v>
      </c>
    </row>
    <row r="152" spans="1:11" ht="15.75">
      <c r="A152" s="22"/>
      <c r="B152" s="23" t="s">
        <v>70</v>
      </c>
      <c r="C152" s="186"/>
      <c r="D152" s="24" t="s">
        <v>89</v>
      </c>
      <c r="E152" s="39"/>
      <c r="F152" s="13" t="s">
        <v>84</v>
      </c>
      <c r="G152" s="22"/>
      <c r="H152" s="25">
        <v>71020502</v>
      </c>
      <c r="I152" s="32">
        <v>69522818</v>
      </c>
      <c r="J152" s="32">
        <v>69522818</v>
      </c>
      <c r="K152" s="16">
        <f t="shared" si="3"/>
        <v>0</v>
      </c>
    </row>
    <row r="153" spans="1:11" ht="31.5">
      <c r="A153" s="22"/>
      <c r="B153" s="23" t="s">
        <v>71</v>
      </c>
      <c r="C153" s="186"/>
      <c r="D153" s="24" t="s">
        <v>89</v>
      </c>
      <c r="E153" s="39"/>
      <c r="F153" s="13" t="s">
        <v>84</v>
      </c>
      <c r="G153" s="22"/>
      <c r="H153" s="25">
        <v>438318830</v>
      </c>
      <c r="I153" s="32">
        <v>443738109</v>
      </c>
      <c r="J153" s="32">
        <v>443738109</v>
      </c>
      <c r="K153" s="16">
        <f t="shared" si="3"/>
        <v>0</v>
      </c>
    </row>
    <row r="154" spans="1:11" ht="31.5">
      <c r="A154" s="22"/>
      <c r="B154" s="23" t="s">
        <v>72</v>
      </c>
      <c r="C154" s="186"/>
      <c r="D154" s="24" t="s">
        <v>89</v>
      </c>
      <c r="E154" s="39"/>
      <c r="F154" s="13" t="s">
        <v>84</v>
      </c>
      <c r="G154" s="22"/>
      <c r="H154" s="25">
        <v>27926924</v>
      </c>
      <c r="I154" s="32">
        <v>27555041</v>
      </c>
      <c r="J154" s="32">
        <v>27555041</v>
      </c>
      <c r="K154" s="16">
        <f t="shared" si="3"/>
        <v>0</v>
      </c>
    </row>
    <row r="155" spans="1:11" ht="15.75">
      <c r="A155" s="22"/>
      <c r="B155" s="23" t="s">
        <v>73</v>
      </c>
      <c r="C155" s="186"/>
      <c r="D155" s="24" t="s">
        <v>149</v>
      </c>
      <c r="E155" s="39"/>
      <c r="F155" s="13" t="s">
        <v>84</v>
      </c>
      <c r="G155" s="22"/>
      <c r="H155" s="25">
        <v>20800154</v>
      </c>
      <c r="I155" s="32">
        <v>16821399</v>
      </c>
      <c r="J155" s="32">
        <v>16821399</v>
      </c>
      <c r="K155" s="20">
        <f t="shared" si="3"/>
        <v>0</v>
      </c>
    </row>
    <row r="156" spans="1:11" ht="31.5">
      <c r="A156" s="10">
        <v>40</v>
      </c>
      <c r="B156" s="11" t="s">
        <v>74</v>
      </c>
      <c r="C156" s="182" t="s">
        <v>12</v>
      </c>
      <c r="D156" s="12"/>
      <c r="E156" s="34">
        <v>14950000000</v>
      </c>
      <c r="F156" s="10"/>
      <c r="G156" s="10"/>
      <c r="H156" s="11"/>
      <c r="I156" s="11"/>
      <c r="J156" s="11"/>
      <c r="K156" s="43">
        <f t="shared" si="3"/>
        <v>0</v>
      </c>
    </row>
    <row r="157" spans="1:11" ht="15.75">
      <c r="A157" s="13"/>
      <c r="B157" s="14" t="s">
        <v>6</v>
      </c>
      <c r="C157" s="183"/>
      <c r="D157" s="15" t="s">
        <v>88</v>
      </c>
      <c r="E157" s="37"/>
      <c r="F157" s="13" t="s">
        <v>83</v>
      </c>
      <c r="G157" s="13"/>
      <c r="H157" s="16">
        <v>13573464815</v>
      </c>
      <c r="I157" s="16">
        <v>13573464815</v>
      </c>
      <c r="J157" s="16">
        <v>13560079000</v>
      </c>
      <c r="K157" s="16">
        <f t="shared" si="3"/>
        <v>13385815</v>
      </c>
    </row>
    <row r="158" spans="1:11" ht="15.75">
      <c r="A158" s="13"/>
      <c r="B158" s="26" t="s">
        <v>147</v>
      </c>
      <c r="C158" s="186"/>
      <c r="D158" s="111" t="s">
        <v>89</v>
      </c>
      <c r="E158" s="37"/>
      <c r="F158" s="13" t="s">
        <v>84</v>
      </c>
      <c r="G158" s="13"/>
      <c r="H158" s="16">
        <v>512193686</v>
      </c>
      <c r="I158" s="16">
        <v>512193686</v>
      </c>
      <c r="J158" s="16">
        <v>512193686</v>
      </c>
      <c r="K158" s="25"/>
    </row>
    <row r="159" spans="1:11" ht="15.75">
      <c r="A159" s="13"/>
      <c r="B159" s="26" t="s">
        <v>148</v>
      </c>
      <c r="C159" s="186"/>
      <c r="D159" s="111" t="s">
        <v>89</v>
      </c>
      <c r="E159" s="37"/>
      <c r="F159" s="13" t="s">
        <v>84</v>
      </c>
      <c r="G159" s="13"/>
      <c r="H159" s="16">
        <v>48864474</v>
      </c>
      <c r="I159" s="16">
        <v>48864474</v>
      </c>
      <c r="J159" s="16">
        <v>48864474</v>
      </c>
      <c r="K159" s="25"/>
    </row>
    <row r="160" spans="1:11" ht="15.75">
      <c r="A160" s="13"/>
      <c r="B160" s="14" t="s">
        <v>75</v>
      </c>
      <c r="C160" s="184"/>
      <c r="D160" s="24" t="s">
        <v>89</v>
      </c>
      <c r="E160" s="37"/>
      <c r="F160" s="13" t="s">
        <v>84</v>
      </c>
      <c r="G160" s="13"/>
      <c r="H160" s="16">
        <v>342865721</v>
      </c>
      <c r="I160" s="16">
        <v>342865721</v>
      </c>
      <c r="J160" s="16">
        <v>342865721</v>
      </c>
      <c r="K160" s="20">
        <f t="shared" si="3"/>
        <v>0</v>
      </c>
    </row>
    <row r="161" spans="1:11" ht="15.75">
      <c r="A161" s="10">
        <v>41</v>
      </c>
      <c r="B161" s="11" t="s">
        <v>76</v>
      </c>
      <c r="C161" s="182" t="s">
        <v>12</v>
      </c>
      <c r="D161" s="12"/>
      <c r="E161" s="34">
        <v>4500000000</v>
      </c>
      <c r="F161" s="10"/>
      <c r="G161" s="10"/>
      <c r="H161" s="11"/>
      <c r="I161" s="11"/>
      <c r="J161" s="11"/>
      <c r="K161" s="42">
        <f t="shared" si="3"/>
        <v>0</v>
      </c>
    </row>
    <row r="162" spans="1:11" ht="15.75">
      <c r="A162" s="13"/>
      <c r="B162" s="14" t="s">
        <v>9</v>
      </c>
      <c r="C162" s="183"/>
      <c r="D162" s="15" t="s">
        <v>88</v>
      </c>
      <c r="E162" s="37"/>
      <c r="F162" s="13" t="s">
        <v>83</v>
      </c>
      <c r="G162" s="13"/>
      <c r="H162" s="16">
        <v>3848158289</v>
      </c>
      <c r="I162" s="16">
        <v>3848158289</v>
      </c>
      <c r="J162" s="16">
        <v>3827684170</v>
      </c>
      <c r="K162" s="16">
        <f t="shared" si="3"/>
        <v>20474119</v>
      </c>
    </row>
    <row r="163" spans="1:11" ht="15.75">
      <c r="A163" s="13"/>
      <c r="B163" s="14" t="s">
        <v>77</v>
      </c>
      <c r="C163" s="186"/>
      <c r="D163" s="24" t="s">
        <v>89</v>
      </c>
      <c r="E163" s="37"/>
      <c r="F163" s="13" t="s">
        <v>84</v>
      </c>
      <c r="G163" s="13"/>
      <c r="H163" s="16">
        <v>88919159</v>
      </c>
      <c r="I163" s="16">
        <v>88919159</v>
      </c>
      <c r="J163" s="16">
        <v>88919159</v>
      </c>
      <c r="K163" s="16">
        <f t="shared" si="3"/>
        <v>0</v>
      </c>
    </row>
    <row r="164" spans="1:11" ht="15.75">
      <c r="A164" s="13"/>
      <c r="B164" s="14" t="s">
        <v>52</v>
      </c>
      <c r="C164" s="186"/>
      <c r="D164" s="24" t="s">
        <v>89</v>
      </c>
      <c r="E164" s="37"/>
      <c r="F164" s="13" t="s">
        <v>84</v>
      </c>
      <c r="G164" s="13"/>
      <c r="H164" s="16">
        <v>64417996</v>
      </c>
      <c r="I164" s="16">
        <v>64417996</v>
      </c>
      <c r="J164" s="16">
        <v>64417996</v>
      </c>
      <c r="K164" s="25">
        <f t="shared" si="3"/>
        <v>0</v>
      </c>
    </row>
    <row r="165" spans="1:11" s="49" customFormat="1" ht="15.75">
      <c r="A165" s="45">
        <v>42</v>
      </c>
      <c r="B165" s="46" t="s">
        <v>80</v>
      </c>
      <c r="C165" s="177" t="s">
        <v>12</v>
      </c>
      <c r="D165" s="113"/>
      <c r="E165" s="47">
        <v>11800000000</v>
      </c>
      <c r="F165" s="45"/>
      <c r="G165" s="45"/>
      <c r="H165" s="46"/>
      <c r="I165" s="46"/>
      <c r="J165" s="46"/>
      <c r="K165" s="75">
        <f t="shared" si="3"/>
        <v>0</v>
      </c>
    </row>
    <row r="166" spans="1:11" s="49" customFormat="1" ht="15.75">
      <c r="A166" s="76"/>
      <c r="B166" s="77" t="s">
        <v>9</v>
      </c>
      <c r="C166" s="178"/>
      <c r="D166" s="114" t="s">
        <v>88</v>
      </c>
      <c r="E166" s="78"/>
      <c r="F166" s="76" t="s">
        <v>86</v>
      </c>
      <c r="G166" s="76"/>
      <c r="H166" s="50">
        <v>5556114599</v>
      </c>
      <c r="I166" s="50">
        <v>5907581992</v>
      </c>
      <c r="J166" s="50">
        <v>5900446972</v>
      </c>
      <c r="K166" s="50">
        <f t="shared" si="3"/>
        <v>7135020</v>
      </c>
    </row>
    <row r="167" spans="1:11" s="49" customFormat="1" ht="31.5">
      <c r="A167" s="76"/>
      <c r="B167" s="77" t="s">
        <v>101</v>
      </c>
      <c r="C167" s="179"/>
      <c r="D167" s="116" t="s">
        <v>89</v>
      </c>
      <c r="E167" s="78"/>
      <c r="F167" s="76" t="s">
        <v>84</v>
      </c>
      <c r="G167" s="76"/>
      <c r="H167" s="50">
        <v>51225000</v>
      </c>
      <c r="I167" s="50">
        <v>51225000</v>
      </c>
      <c r="J167" s="50">
        <v>51225000</v>
      </c>
      <c r="K167" s="50">
        <f t="shared" si="3"/>
        <v>0</v>
      </c>
    </row>
    <row r="168" spans="1:11" s="49" customFormat="1" ht="15.75">
      <c r="A168" s="76"/>
      <c r="B168" s="77" t="s">
        <v>77</v>
      </c>
      <c r="C168" s="179"/>
      <c r="D168" s="116" t="s">
        <v>89</v>
      </c>
      <c r="E168" s="78"/>
      <c r="F168" s="76" t="s">
        <v>84</v>
      </c>
      <c r="G168" s="76"/>
      <c r="H168" s="50">
        <v>142585976</v>
      </c>
      <c r="I168" s="50">
        <v>142585976</v>
      </c>
      <c r="J168" s="50">
        <v>142585976</v>
      </c>
      <c r="K168" s="50">
        <f t="shared" si="3"/>
        <v>0</v>
      </c>
    </row>
    <row r="169" spans="1:11" s="49" customFormat="1" ht="31.5">
      <c r="A169" s="45">
        <v>43</v>
      </c>
      <c r="B169" s="46" t="s">
        <v>95</v>
      </c>
      <c r="C169" s="177" t="s">
        <v>12</v>
      </c>
      <c r="D169" s="113"/>
      <c r="E169" s="47">
        <v>3250000000</v>
      </c>
      <c r="F169" s="45"/>
      <c r="G169" s="45"/>
      <c r="H169" s="46"/>
      <c r="I169" s="46"/>
      <c r="J169" s="46"/>
      <c r="K169" s="75">
        <f>I169-J169</f>
        <v>0</v>
      </c>
    </row>
    <row r="170" spans="1:11" s="49" customFormat="1" ht="15.75">
      <c r="A170" s="76"/>
      <c r="B170" s="77" t="s">
        <v>102</v>
      </c>
      <c r="C170" s="178"/>
      <c r="D170" s="114" t="s">
        <v>88</v>
      </c>
      <c r="E170" s="78"/>
      <c r="F170" s="76" t="s">
        <v>84</v>
      </c>
      <c r="G170" s="58" t="s">
        <v>145</v>
      </c>
      <c r="H170" s="50">
        <v>788615728</v>
      </c>
      <c r="I170" s="50">
        <v>788615728</v>
      </c>
      <c r="J170" s="50">
        <v>788615728</v>
      </c>
      <c r="K170" s="50">
        <f>I170-J170</f>
        <v>0</v>
      </c>
    </row>
    <row r="171" spans="1:11" s="49" customFormat="1" ht="15.75">
      <c r="A171" s="76"/>
      <c r="B171" s="77" t="s">
        <v>103</v>
      </c>
      <c r="C171" s="179"/>
      <c r="D171" s="114" t="s">
        <v>88</v>
      </c>
      <c r="E171" s="78"/>
      <c r="F171" s="76" t="s">
        <v>84</v>
      </c>
      <c r="G171" s="58" t="s">
        <v>145</v>
      </c>
      <c r="H171" s="50">
        <v>1911197407</v>
      </c>
      <c r="I171" s="50">
        <v>1911197407</v>
      </c>
      <c r="J171" s="50">
        <v>1911197407</v>
      </c>
      <c r="K171" s="50">
        <f>I171-J171</f>
        <v>0</v>
      </c>
    </row>
    <row r="172" spans="1:11" s="49" customFormat="1" ht="15.75">
      <c r="A172" s="76"/>
      <c r="B172" s="26" t="s">
        <v>147</v>
      </c>
      <c r="C172" s="179"/>
      <c r="D172" s="116" t="s">
        <v>89</v>
      </c>
      <c r="E172" s="78"/>
      <c r="F172" s="76" t="s">
        <v>84</v>
      </c>
      <c r="G172" s="58"/>
      <c r="H172" s="50">
        <v>122773008</v>
      </c>
      <c r="I172" s="50">
        <v>122773008</v>
      </c>
      <c r="J172" s="50">
        <v>122773008</v>
      </c>
      <c r="K172" s="50"/>
    </row>
    <row r="173" spans="1:11" s="49" customFormat="1" ht="15.75">
      <c r="A173" s="76"/>
      <c r="B173" s="26" t="s">
        <v>148</v>
      </c>
      <c r="C173" s="179"/>
      <c r="D173" s="116" t="s">
        <v>89</v>
      </c>
      <c r="E173" s="78"/>
      <c r="F173" s="76" t="s">
        <v>84</v>
      </c>
      <c r="G173" s="58"/>
      <c r="H173" s="50">
        <f>5656328+5480938</f>
        <v>11137266</v>
      </c>
      <c r="I173" s="50">
        <f>5656328+5480938</f>
        <v>11137266</v>
      </c>
      <c r="J173" s="50">
        <f>5656328+5480938</f>
        <v>11137266</v>
      </c>
      <c r="K173" s="50"/>
    </row>
    <row r="174" spans="1:11" s="49" customFormat="1" ht="15.75">
      <c r="A174" s="76"/>
      <c r="B174" s="77" t="s">
        <v>77</v>
      </c>
      <c r="C174" s="179"/>
      <c r="D174" s="116" t="s">
        <v>89</v>
      </c>
      <c r="E174" s="78"/>
      <c r="F174" s="76" t="s">
        <v>84</v>
      </c>
      <c r="G174" s="76"/>
      <c r="H174" s="50">
        <v>76302299</v>
      </c>
      <c r="I174" s="50">
        <v>76302299</v>
      </c>
      <c r="J174" s="50">
        <v>76302299</v>
      </c>
      <c r="K174" s="50">
        <f>I174-J174</f>
        <v>0</v>
      </c>
    </row>
    <row r="175" spans="1:11" s="49" customFormat="1" ht="15.75">
      <c r="A175" s="45">
        <v>44</v>
      </c>
      <c r="B175" s="46" t="s">
        <v>100</v>
      </c>
      <c r="C175" s="177" t="s">
        <v>12</v>
      </c>
      <c r="D175" s="113"/>
      <c r="E175" s="47"/>
      <c r="F175" s="45"/>
      <c r="G175" s="45"/>
      <c r="H175" s="46"/>
      <c r="I175" s="46"/>
      <c r="J175" s="46"/>
      <c r="K175" s="48">
        <f t="shared" si="3"/>
        <v>0</v>
      </c>
    </row>
    <row r="176" spans="1:11" s="49" customFormat="1" ht="15.75">
      <c r="A176" s="76"/>
      <c r="B176" s="77" t="s">
        <v>9</v>
      </c>
      <c r="C176" s="178"/>
      <c r="D176" s="114" t="s">
        <v>88</v>
      </c>
      <c r="E176" s="78"/>
      <c r="F176" s="76" t="s">
        <v>83</v>
      </c>
      <c r="G176" s="76"/>
      <c r="H176" s="50">
        <v>1523111616</v>
      </c>
      <c r="I176" s="50">
        <v>1523111616</v>
      </c>
      <c r="J176" s="50">
        <v>1520000000</v>
      </c>
      <c r="K176" s="50">
        <f t="shared" si="3"/>
        <v>3111616</v>
      </c>
    </row>
    <row r="177" spans="1:11" s="49" customFormat="1" ht="15.75">
      <c r="A177" s="76"/>
      <c r="B177" s="77" t="s">
        <v>77</v>
      </c>
      <c r="C177" s="179"/>
      <c r="D177" s="116" t="s">
        <v>89</v>
      </c>
      <c r="E177" s="78"/>
      <c r="F177" s="76" t="s">
        <v>84</v>
      </c>
      <c r="G177" s="76"/>
      <c r="H177" s="50">
        <v>33459669</v>
      </c>
      <c r="I177" s="50">
        <v>33459669</v>
      </c>
      <c r="J177" s="50">
        <v>33459669</v>
      </c>
      <c r="K177" s="50">
        <f t="shared" si="3"/>
        <v>0</v>
      </c>
    </row>
    <row r="178" spans="1:11" s="49" customFormat="1" ht="31.5">
      <c r="A178" s="45">
        <v>45</v>
      </c>
      <c r="B178" s="46" t="s">
        <v>96</v>
      </c>
      <c r="C178" s="177" t="s">
        <v>12</v>
      </c>
      <c r="D178" s="67"/>
      <c r="E178" s="47">
        <v>5500000000</v>
      </c>
      <c r="F178" s="45"/>
      <c r="G178" s="45"/>
      <c r="H178" s="46"/>
      <c r="I178" s="46"/>
      <c r="J178" s="46"/>
      <c r="K178" s="75">
        <f aca="true" t="shared" si="4" ref="K178:K201">I178-J178</f>
        <v>0</v>
      </c>
    </row>
    <row r="179" spans="1:11" s="49" customFormat="1" ht="15.75">
      <c r="A179" s="76"/>
      <c r="B179" s="77" t="s">
        <v>9</v>
      </c>
      <c r="C179" s="178"/>
      <c r="D179" s="68" t="s">
        <v>88</v>
      </c>
      <c r="E179" s="78"/>
      <c r="F179" s="76" t="s">
        <v>84</v>
      </c>
      <c r="G179" s="57" t="s">
        <v>145</v>
      </c>
      <c r="H179" s="50">
        <v>4592911491</v>
      </c>
      <c r="I179" s="50">
        <v>4653253816</v>
      </c>
      <c r="J179" s="50">
        <v>4653253000</v>
      </c>
      <c r="K179" s="50">
        <f t="shared" si="4"/>
        <v>816</v>
      </c>
    </row>
    <row r="180" spans="1:11" s="49" customFormat="1" ht="15.75">
      <c r="A180" s="76"/>
      <c r="B180" s="26" t="s">
        <v>147</v>
      </c>
      <c r="C180" s="179"/>
      <c r="D180" s="116" t="s">
        <v>89</v>
      </c>
      <c r="E180" s="78"/>
      <c r="F180" s="76" t="s">
        <v>84</v>
      </c>
      <c r="G180" s="57"/>
      <c r="H180" s="50">
        <v>214203155</v>
      </c>
      <c r="I180" s="50">
        <v>214203155</v>
      </c>
      <c r="J180" s="50">
        <v>214203155</v>
      </c>
      <c r="K180" s="50"/>
    </row>
    <row r="181" spans="1:11" s="49" customFormat="1" ht="15.75">
      <c r="A181" s="76"/>
      <c r="B181" s="26" t="s">
        <v>148</v>
      </c>
      <c r="C181" s="179"/>
      <c r="D181" s="116" t="s">
        <v>89</v>
      </c>
      <c r="E181" s="78"/>
      <c r="F181" s="76" t="s">
        <v>84</v>
      </c>
      <c r="G181" s="57"/>
      <c r="H181" s="123">
        <v>17085632</v>
      </c>
      <c r="I181" s="123">
        <v>17085632</v>
      </c>
      <c r="J181" s="123">
        <v>17085632</v>
      </c>
      <c r="K181" s="50"/>
    </row>
    <row r="182" spans="1:11" s="49" customFormat="1" ht="15.75">
      <c r="A182" s="76"/>
      <c r="B182" s="77" t="s">
        <v>75</v>
      </c>
      <c r="C182" s="179"/>
      <c r="D182" s="79" t="s">
        <v>89</v>
      </c>
      <c r="E182" s="78"/>
      <c r="F182" s="76" t="s">
        <v>84</v>
      </c>
      <c r="G182" s="76"/>
      <c r="H182" s="50">
        <v>119323841</v>
      </c>
      <c r="I182" s="50">
        <v>119323841</v>
      </c>
      <c r="J182" s="50">
        <v>119323841</v>
      </c>
      <c r="K182" s="50">
        <f t="shared" si="4"/>
        <v>0</v>
      </c>
    </row>
    <row r="183" spans="1:11" s="49" customFormat="1" ht="15.75">
      <c r="A183" s="45">
        <v>46</v>
      </c>
      <c r="B183" s="46" t="s">
        <v>104</v>
      </c>
      <c r="C183" s="177" t="s">
        <v>12</v>
      </c>
      <c r="D183" s="67"/>
      <c r="E183" s="47">
        <v>5500000000</v>
      </c>
      <c r="F183" s="45"/>
      <c r="G183" s="45"/>
      <c r="H183" s="46"/>
      <c r="I183" s="46"/>
      <c r="J183" s="46"/>
      <c r="K183" s="75">
        <f t="shared" si="4"/>
        <v>0</v>
      </c>
    </row>
    <row r="184" spans="1:11" s="49" customFormat="1" ht="15.75">
      <c r="A184" s="76"/>
      <c r="B184" s="77" t="s">
        <v>9</v>
      </c>
      <c r="C184" s="178"/>
      <c r="D184" s="68" t="s">
        <v>88</v>
      </c>
      <c r="E184" s="78"/>
      <c r="F184" s="76" t="s">
        <v>84</v>
      </c>
      <c r="G184" s="57" t="s">
        <v>145</v>
      </c>
      <c r="H184" s="50">
        <v>4784604105</v>
      </c>
      <c r="I184" s="50">
        <v>4846876276</v>
      </c>
      <c r="J184" s="50">
        <v>4846876276</v>
      </c>
      <c r="K184" s="50">
        <f t="shared" si="4"/>
        <v>0</v>
      </c>
    </row>
    <row r="185" spans="1:11" s="49" customFormat="1" ht="15.75">
      <c r="A185" s="76"/>
      <c r="B185" s="26" t="s">
        <v>147</v>
      </c>
      <c r="C185" s="179"/>
      <c r="D185" s="116" t="s">
        <v>89</v>
      </c>
      <c r="E185" s="78"/>
      <c r="F185" s="76" t="s">
        <v>84</v>
      </c>
      <c r="G185" s="57"/>
      <c r="H185" s="50">
        <f>202436599+20770781</f>
        <v>223207380</v>
      </c>
      <c r="I185" s="50">
        <f>202436599+20770781</f>
        <v>223207380</v>
      </c>
      <c r="J185" s="50">
        <f>202436599+20770781</f>
        <v>223207380</v>
      </c>
      <c r="K185" s="50"/>
    </row>
    <row r="186" spans="1:11" s="49" customFormat="1" ht="15.75">
      <c r="A186" s="76"/>
      <c r="B186" s="26" t="s">
        <v>148</v>
      </c>
      <c r="C186" s="179"/>
      <c r="D186" s="116" t="s">
        <v>89</v>
      </c>
      <c r="E186" s="78"/>
      <c r="F186" s="76" t="s">
        <v>84</v>
      </c>
      <c r="G186" s="57"/>
      <c r="H186" s="50">
        <f>9042902+8755825</f>
        <v>17798727</v>
      </c>
      <c r="I186" s="50">
        <f>9042902+8755825</f>
        <v>17798727</v>
      </c>
      <c r="J186" s="50">
        <f>9042902+8755825</f>
        <v>17798727</v>
      </c>
      <c r="K186" s="50"/>
    </row>
    <row r="187" spans="1:11" s="49" customFormat="1" ht="15.75">
      <c r="A187" s="76"/>
      <c r="B187" s="77" t="s">
        <v>75</v>
      </c>
      <c r="C187" s="179"/>
      <c r="D187" s="79" t="s">
        <v>89</v>
      </c>
      <c r="E187" s="78"/>
      <c r="F187" s="76" t="s">
        <v>84</v>
      </c>
      <c r="G187" s="76"/>
      <c r="H187" s="50">
        <v>124304015</v>
      </c>
      <c r="I187" s="50">
        <v>124304015</v>
      </c>
      <c r="J187" s="50">
        <v>124304015</v>
      </c>
      <c r="K187" s="50">
        <f t="shared" si="4"/>
        <v>0</v>
      </c>
    </row>
    <row r="188" spans="1:11" s="49" customFormat="1" ht="31.5">
      <c r="A188" s="45">
        <v>47</v>
      </c>
      <c r="B188" s="46" t="s">
        <v>97</v>
      </c>
      <c r="C188" s="177" t="s">
        <v>12</v>
      </c>
      <c r="D188" s="67"/>
      <c r="E188" s="47">
        <v>180000000</v>
      </c>
      <c r="F188" s="45"/>
      <c r="G188" s="45"/>
      <c r="H188" s="46"/>
      <c r="I188" s="46"/>
      <c r="J188" s="46"/>
      <c r="K188" s="75">
        <f t="shared" si="4"/>
        <v>0</v>
      </c>
    </row>
    <row r="189" spans="1:11" s="49" customFormat="1" ht="15.75">
      <c r="A189" s="76"/>
      <c r="B189" s="77" t="s">
        <v>9</v>
      </c>
      <c r="C189" s="178"/>
      <c r="D189" s="68" t="s">
        <v>88</v>
      </c>
      <c r="E189" s="78"/>
      <c r="F189" s="76" t="s">
        <v>84</v>
      </c>
      <c r="G189" s="57" t="s">
        <v>145</v>
      </c>
      <c r="H189" s="50">
        <v>121135102</v>
      </c>
      <c r="I189" s="50">
        <v>121135102</v>
      </c>
      <c r="J189" s="50">
        <v>121135102</v>
      </c>
      <c r="K189" s="50">
        <f t="shared" si="4"/>
        <v>0</v>
      </c>
    </row>
    <row r="190" spans="1:11" s="49" customFormat="1" ht="15.75">
      <c r="A190" s="76"/>
      <c r="B190" s="26" t="s">
        <v>147</v>
      </c>
      <c r="C190" s="179"/>
      <c r="D190" s="116" t="s">
        <v>89</v>
      </c>
      <c r="E190" s="78"/>
      <c r="F190" s="76" t="s">
        <v>84</v>
      </c>
      <c r="G190" s="57"/>
      <c r="H190" s="50">
        <v>20036296</v>
      </c>
      <c r="I190" s="50">
        <v>20036296</v>
      </c>
      <c r="J190" s="50">
        <v>20036296</v>
      </c>
      <c r="K190" s="50"/>
    </row>
    <row r="191" spans="1:11" s="49" customFormat="1" ht="15.75">
      <c r="A191" s="76"/>
      <c r="B191" s="77" t="s">
        <v>75</v>
      </c>
      <c r="C191" s="179"/>
      <c r="D191" s="79" t="s">
        <v>89</v>
      </c>
      <c r="E191" s="78"/>
      <c r="F191" s="80" t="s">
        <v>85</v>
      </c>
      <c r="G191" s="80"/>
      <c r="H191" s="50">
        <v>3879957</v>
      </c>
      <c r="I191" s="50">
        <v>3879957</v>
      </c>
      <c r="J191" s="50">
        <v>3879957</v>
      </c>
      <c r="K191" s="50">
        <f t="shared" si="4"/>
        <v>0</v>
      </c>
    </row>
    <row r="192" spans="1:11" s="49" customFormat="1" ht="31.5">
      <c r="A192" s="45">
        <v>48</v>
      </c>
      <c r="B192" s="46" t="s">
        <v>98</v>
      </c>
      <c r="C192" s="177" t="s">
        <v>12</v>
      </c>
      <c r="D192" s="67"/>
      <c r="E192" s="47"/>
      <c r="F192" s="45"/>
      <c r="G192" s="45"/>
      <c r="H192" s="46"/>
      <c r="I192" s="46"/>
      <c r="J192" s="46"/>
      <c r="K192" s="75">
        <f t="shared" si="4"/>
        <v>0</v>
      </c>
    </row>
    <row r="193" spans="1:11" s="49" customFormat="1" ht="15.75">
      <c r="A193" s="76"/>
      <c r="B193" s="77" t="s">
        <v>9</v>
      </c>
      <c r="C193" s="178"/>
      <c r="D193" s="68" t="s">
        <v>88</v>
      </c>
      <c r="E193" s="78"/>
      <c r="F193" s="76" t="s">
        <v>84</v>
      </c>
      <c r="G193" s="57" t="s">
        <v>145</v>
      </c>
      <c r="H193" s="50">
        <v>862612243</v>
      </c>
      <c r="I193" s="50">
        <v>862612243</v>
      </c>
      <c r="J193" s="50">
        <v>862611726</v>
      </c>
      <c r="K193" s="50">
        <f t="shared" si="4"/>
        <v>517</v>
      </c>
    </row>
    <row r="194" spans="1:11" s="49" customFormat="1" ht="15.75">
      <c r="A194" s="76"/>
      <c r="B194" s="26" t="s">
        <v>147</v>
      </c>
      <c r="C194" s="179"/>
      <c r="D194" s="116" t="s">
        <v>89</v>
      </c>
      <c r="E194" s="78"/>
      <c r="F194" s="76" t="s">
        <v>84</v>
      </c>
      <c r="G194" s="57"/>
      <c r="H194" s="50">
        <v>77700582</v>
      </c>
      <c r="I194" s="50">
        <v>77700582</v>
      </c>
      <c r="J194" s="50">
        <v>77700582</v>
      </c>
      <c r="K194" s="50"/>
    </row>
    <row r="195" spans="1:11" s="49" customFormat="1" ht="15.75">
      <c r="A195" s="76"/>
      <c r="B195" s="26" t="s">
        <v>148</v>
      </c>
      <c r="C195" s="179"/>
      <c r="D195" s="116" t="s">
        <v>89</v>
      </c>
      <c r="E195" s="78"/>
      <c r="F195" s="76" t="s">
        <v>84</v>
      </c>
      <c r="G195" s="57"/>
      <c r="H195" s="50">
        <v>4400000</v>
      </c>
      <c r="I195" s="50">
        <v>4400000</v>
      </c>
      <c r="J195" s="50">
        <v>4400000</v>
      </c>
      <c r="K195" s="50"/>
    </row>
    <row r="196" spans="1:11" s="49" customFormat="1" ht="15.75">
      <c r="A196" s="76"/>
      <c r="B196" s="77" t="s">
        <v>75</v>
      </c>
      <c r="C196" s="179"/>
      <c r="D196" s="79" t="s">
        <v>89</v>
      </c>
      <c r="E196" s="78"/>
      <c r="F196" s="80" t="s">
        <v>85</v>
      </c>
      <c r="G196" s="80"/>
      <c r="H196" s="50">
        <v>27629470</v>
      </c>
      <c r="I196" s="50">
        <v>27629470</v>
      </c>
      <c r="J196" s="50">
        <v>27629470</v>
      </c>
      <c r="K196" s="50">
        <f t="shared" si="4"/>
        <v>0</v>
      </c>
    </row>
    <row r="197" spans="1:11" s="49" customFormat="1" ht="15.75">
      <c r="A197" s="45">
        <v>49</v>
      </c>
      <c r="B197" s="46" t="s">
        <v>99</v>
      </c>
      <c r="C197" s="177" t="s">
        <v>12</v>
      </c>
      <c r="D197" s="67"/>
      <c r="E197" s="47"/>
      <c r="F197" s="45"/>
      <c r="G197" s="45"/>
      <c r="H197" s="46"/>
      <c r="I197" s="46"/>
      <c r="J197" s="46"/>
      <c r="K197" s="75">
        <f t="shared" si="4"/>
        <v>0</v>
      </c>
    </row>
    <row r="198" spans="1:11" s="49" customFormat="1" ht="15.75">
      <c r="A198" s="76"/>
      <c r="B198" s="77" t="s">
        <v>9</v>
      </c>
      <c r="C198" s="178"/>
      <c r="D198" s="68" t="s">
        <v>88</v>
      </c>
      <c r="E198" s="78"/>
      <c r="F198" s="76" t="s">
        <v>84</v>
      </c>
      <c r="G198" s="57" t="s">
        <v>145</v>
      </c>
      <c r="H198" s="50">
        <v>595439734</v>
      </c>
      <c r="I198" s="50">
        <v>595439734</v>
      </c>
      <c r="J198" s="50">
        <v>595439734</v>
      </c>
      <c r="K198" s="50">
        <f t="shared" si="4"/>
        <v>0</v>
      </c>
    </row>
    <row r="199" spans="1:11" s="49" customFormat="1" ht="15.75">
      <c r="A199" s="76"/>
      <c r="B199" s="26" t="s">
        <v>147</v>
      </c>
      <c r="C199" s="179"/>
      <c r="D199" s="116" t="s">
        <v>89</v>
      </c>
      <c r="E199" s="78"/>
      <c r="F199" s="76" t="s">
        <v>84</v>
      </c>
      <c r="G199" s="57"/>
      <c r="H199" s="50">
        <v>88288034</v>
      </c>
      <c r="I199" s="50">
        <v>88288034</v>
      </c>
      <c r="J199" s="50">
        <v>88288034</v>
      </c>
      <c r="K199" s="50"/>
    </row>
    <row r="200" spans="1:11" s="49" customFormat="1" ht="15.75">
      <c r="A200" s="76"/>
      <c r="B200" s="26" t="s">
        <v>148</v>
      </c>
      <c r="C200" s="179"/>
      <c r="D200" s="116" t="s">
        <v>89</v>
      </c>
      <c r="E200" s="78"/>
      <c r="F200" s="76" t="s">
        <v>84</v>
      </c>
      <c r="G200" s="57"/>
      <c r="H200" s="50">
        <v>4400000</v>
      </c>
      <c r="I200" s="50">
        <v>4400000</v>
      </c>
      <c r="J200" s="50">
        <v>4400000</v>
      </c>
      <c r="K200" s="50"/>
    </row>
    <row r="201" spans="1:11" s="49" customFormat="1" ht="15.75">
      <c r="A201" s="76"/>
      <c r="B201" s="77" t="s">
        <v>75</v>
      </c>
      <c r="C201" s="179"/>
      <c r="D201" s="79" t="s">
        <v>89</v>
      </c>
      <c r="E201" s="78"/>
      <c r="F201" s="80" t="s">
        <v>85</v>
      </c>
      <c r="G201" s="80"/>
      <c r="H201" s="50">
        <v>19071934</v>
      </c>
      <c r="I201" s="50">
        <v>19071934</v>
      </c>
      <c r="J201" s="50">
        <v>19071934</v>
      </c>
      <c r="K201" s="50">
        <f t="shared" si="4"/>
        <v>0</v>
      </c>
    </row>
    <row r="202" spans="1:11" ht="15.75">
      <c r="A202" s="5"/>
      <c r="B202" s="3"/>
      <c r="C202" s="8"/>
      <c r="D202" s="8"/>
      <c r="E202" s="40"/>
      <c r="F202" s="5"/>
      <c r="G202" s="86"/>
      <c r="H202" s="3"/>
      <c r="I202" s="3"/>
      <c r="J202" s="3"/>
      <c r="K202" s="3"/>
    </row>
    <row r="203" spans="1:11" s="2" customFormat="1" ht="23.25" customHeight="1">
      <c r="A203" s="1"/>
      <c r="B203" s="1" t="s">
        <v>82</v>
      </c>
      <c r="C203" s="1"/>
      <c r="D203" s="1"/>
      <c r="E203" s="33"/>
      <c r="F203" s="1"/>
      <c r="G203" s="1"/>
      <c r="H203" s="1"/>
      <c r="I203" s="44">
        <f>SUM(I7:I201)</f>
        <v>220997420430.9</v>
      </c>
      <c r="J203" s="44">
        <f>SUM(J7:J201)</f>
        <v>220698948675.9</v>
      </c>
      <c r="K203" s="44">
        <f>SUM(K7:K201)</f>
        <v>298471755</v>
      </c>
    </row>
    <row r="204" spans="1:11" ht="15.75">
      <c r="A204" s="5"/>
      <c r="B204" s="3"/>
      <c r="C204" s="8"/>
      <c r="D204" s="8"/>
      <c r="E204" s="40"/>
      <c r="F204" s="5"/>
      <c r="G204" s="86"/>
      <c r="H204" s="3"/>
      <c r="I204" s="3"/>
      <c r="J204" s="3"/>
      <c r="K204" s="69">
        <f>K203/I203</f>
        <v>0.0013505666917651836</v>
      </c>
    </row>
    <row r="205" spans="1:11" ht="15.75">
      <c r="A205" s="5"/>
      <c r="B205" s="3"/>
      <c r="C205" s="8"/>
      <c r="D205" s="8"/>
      <c r="E205" s="40"/>
      <c r="F205" s="5"/>
      <c r="G205" s="86"/>
      <c r="H205" s="3"/>
      <c r="I205" s="3"/>
      <c r="J205" s="3"/>
      <c r="K205" s="3"/>
    </row>
    <row r="206" spans="1:11" ht="15.75">
      <c r="A206" s="5"/>
      <c r="B206" s="3"/>
      <c r="C206" s="8"/>
      <c r="D206" s="8"/>
      <c r="E206" s="40"/>
      <c r="F206" s="5"/>
      <c r="G206" s="86"/>
      <c r="H206" s="3"/>
      <c r="I206" s="3"/>
      <c r="J206" s="3"/>
      <c r="K206" s="70"/>
    </row>
    <row r="207" spans="1:11" ht="15.75">
      <c r="A207" s="5"/>
      <c r="B207" s="3"/>
      <c r="C207" s="8"/>
      <c r="D207" s="8"/>
      <c r="E207" s="40"/>
      <c r="F207" s="5"/>
      <c r="G207" s="86"/>
      <c r="H207" s="3"/>
      <c r="I207" s="3"/>
      <c r="J207" s="3"/>
      <c r="K207" s="71">
        <f>216-215.73</f>
        <v>0.27000000000001023</v>
      </c>
    </row>
    <row r="208" spans="1:11" ht="15.75">
      <c r="A208" s="5"/>
      <c r="B208" s="3"/>
      <c r="C208" s="8"/>
      <c r="D208" s="8"/>
      <c r="E208" s="40"/>
      <c r="F208" s="5"/>
      <c r="G208" s="86"/>
      <c r="H208" s="3"/>
      <c r="I208" s="3"/>
      <c r="J208" s="3"/>
      <c r="K208" s="3"/>
    </row>
    <row r="213" spans="9:11" ht="15.75">
      <c r="I213" s="44">
        <v>193107712810</v>
      </c>
      <c r="J213" s="44">
        <v>192843730044</v>
      </c>
      <c r="K213" s="44">
        <v>263982766</v>
      </c>
    </row>
  </sheetData>
  <sheetProtection/>
  <mergeCells count="50">
    <mergeCell ref="C175:C177"/>
    <mergeCell ref="C98:C101"/>
    <mergeCell ref="C129:C134"/>
    <mergeCell ref="C135:C140"/>
    <mergeCell ref="C141:C146"/>
    <mergeCell ref="C169:C174"/>
    <mergeCell ref="C147:C155"/>
    <mergeCell ref="C156:C160"/>
    <mergeCell ref="C161:C164"/>
    <mergeCell ref="C165:C168"/>
    <mergeCell ref="C106:C108"/>
    <mergeCell ref="C109:C111"/>
    <mergeCell ref="C112:C114"/>
    <mergeCell ref="C115:C119"/>
    <mergeCell ref="C120:C124"/>
    <mergeCell ref="C125:C128"/>
    <mergeCell ref="C81:C83"/>
    <mergeCell ref="C84:C86"/>
    <mergeCell ref="C87:C90"/>
    <mergeCell ref="C91:C93"/>
    <mergeCell ref="C94:C97"/>
    <mergeCell ref="C102:C105"/>
    <mergeCell ref="C61:C63"/>
    <mergeCell ref="C64:C66"/>
    <mergeCell ref="C67:C70"/>
    <mergeCell ref="C71:C73"/>
    <mergeCell ref="C74:C77"/>
    <mergeCell ref="C78:C80"/>
    <mergeCell ref="C40:C42"/>
    <mergeCell ref="C43:C45"/>
    <mergeCell ref="C46:C49"/>
    <mergeCell ref="C50:C52"/>
    <mergeCell ref="C53:C56"/>
    <mergeCell ref="C57:C60"/>
    <mergeCell ref="C23:C25"/>
    <mergeCell ref="C26:C28"/>
    <mergeCell ref="C11:C13"/>
    <mergeCell ref="C29:C31"/>
    <mergeCell ref="C32:C35"/>
    <mergeCell ref="C36:C39"/>
    <mergeCell ref="C178:C182"/>
    <mergeCell ref="C192:C196"/>
    <mergeCell ref="C188:C191"/>
    <mergeCell ref="C183:C187"/>
    <mergeCell ref="C197:C201"/>
    <mergeCell ref="P1:Q1"/>
    <mergeCell ref="C7:C10"/>
    <mergeCell ref="C14:C16"/>
    <mergeCell ref="C17:C19"/>
    <mergeCell ref="C20:C22"/>
  </mergeCells>
  <printOptions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DLC</dc:creator>
  <cp:keywords/>
  <dc:description/>
  <cp:lastModifiedBy>Admin</cp:lastModifiedBy>
  <cp:lastPrinted>2022-01-18T08:11:19Z</cp:lastPrinted>
  <dcterms:created xsi:type="dcterms:W3CDTF">2021-10-26T07:33:45Z</dcterms:created>
  <dcterms:modified xsi:type="dcterms:W3CDTF">2022-01-18T08:13:27Z</dcterms:modified>
  <cp:category/>
  <cp:version/>
  <cp:contentType/>
  <cp:contentStatus/>
</cp:coreProperties>
</file>