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15" windowHeight="7590" tabRatio="745" activeTab="1"/>
  </bookViews>
  <sheets>
    <sheet name="BC CTMTQG" sheetId="1" r:id="rId1"/>
    <sheet name="BC CĐNSĐP" sheetId="2" r:id="rId2"/>
  </sheets>
  <definedNames>
    <definedName name="_xlnm.Print_Area" localSheetId="1">'BC CĐNSĐP'!$A$1:$AF$33</definedName>
    <definedName name="_xlnm.Print_Area" localSheetId="0">'BC CTMTQG'!$A$1:$AF$73</definedName>
    <definedName name="_xlnm.Print_Titles" localSheetId="0">'BC CTMTQG'!$5:$9</definedName>
  </definedNames>
  <calcPr fullCalcOnLoad="1"/>
</workbook>
</file>

<file path=xl/sharedStrings.xml><?xml version="1.0" encoding="utf-8"?>
<sst xmlns="http://schemas.openxmlformats.org/spreadsheetml/2006/main" count="315" uniqueCount="219">
  <si>
    <t>TT</t>
  </si>
  <si>
    <t>Danh mục dự án</t>
  </si>
  <si>
    <t>Địa điểm XD</t>
  </si>
  <si>
    <t>Năng lực thiết kế</t>
  </si>
  <si>
    <t>Thời gian KC-HT</t>
  </si>
  <si>
    <t>QĐ đầu tư ban đầu hoặc QĐ đầu tư điều chỉnh đã được Thủ tướng Chính phủ giao KH các năm</t>
  </si>
  <si>
    <t>Ghi chú</t>
  </si>
  <si>
    <t>Tổng số (tất cả các nguồn vốn)</t>
  </si>
  <si>
    <t>Số quyết định; ngày, tháng, năm ban hành</t>
  </si>
  <si>
    <t>I</t>
  </si>
  <si>
    <t>II</t>
  </si>
  <si>
    <t>III</t>
  </si>
  <si>
    <t>Tổng số</t>
  </si>
  <si>
    <t>UBND HUYỆN TUẦN GIÁO</t>
  </si>
  <si>
    <t>TM. ỦY BAN NHÂN DÂN</t>
  </si>
  <si>
    <t>Tổng mức đầu tư</t>
  </si>
  <si>
    <t>Trong đó NSTW</t>
  </si>
  <si>
    <t>Trong đó: NSTW</t>
  </si>
  <si>
    <t>Thu hồi các khoản vốn ứng trước NSTW</t>
  </si>
  <si>
    <t>Thanh toán nợ XDCB</t>
  </si>
  <si>
    <t>Đường QL 279 - bản Cộng</t>
  </si>
  <si>
    <t>Nhà văn hóa xã Quài Cang</t>
  </si>
  <si>
    <t>Nhà văn hóa xã Quài Nưa</t>
  </si>
  <si>
    <t>Đường BT nội bản Chứn xã Mường Thín</t>
  </si>
  <si>
    <t>Nhà văn hóa xã Mường Khong</t>
  </si>
  <si>
    <t>Nhà văn hóa xã Chiềng Đông</t>
  </si>
  <si>
    <t>Đường BT nội bản Noong Luông</t>
  </si>
  <si>
    <t>Nhà văn hóa xã Tênh Phông</t>
  </si>
  <si>
    <t>Đường TT xã Pú Nhung - bản Phiêng Pi</t>
  </si>
  <si>
    <t>Đường vào bản Khúa Trá và bản Phiêng Hoa xã Phình Sáng</t>
  </si>
  <si>
    <t>Nhà văn hoá xã Mường Mùn</t>
  </si>
  <si>
    <t>Chương trình mục tiêu Quốc gia Xây dựng nông thôn mới</t>
  </si>
  <si>
    <t>Đường QL6 - bản Núm - bản Hốc</t>
  </si>
  <si>
    <t>Xã Mường Mùn</t>
  </si>
  <si>
    <t>Đường QL279 - TT xã Pú Nhung</t>
  </si>
  <si>
    <t>Nhà văn hoá bản Thín B, xã Mường Thín</t>
  </si>
  <si>
    <t>Đường  giao thông từ bản Sáng đến bản Ten Cá xã Quài Cang</t>
  </si>
  <si>
    <t>Chương trình mục tiêu quốc gia giảm nghèo bền vững theo CT 135</t>
  </si>
  <si>
    <t>Kế hoạch năm trung hạn 5 năm (2016-2020)</t>
  </si>
  <si>
    <t>xã Mường Thín</t>
  </si>
  <si>
    <t>xã Mường Khong</t>
  </si>
  <si>
    <t>xã Rạng Đông</t>
  </si>
  <si>
    <t>xã Tênh Phông</t>
  </si>
  <si>
    <t>UBND xã Mường Thín</t>
  </si>
  <si>
    <t>xã Quài Cang</t>
  </si>
  <si>
    <t>UBND xã Quài Cang</t>
  </si>
  <si>
    <t>UBND xã Mường Khong</t>
  </si>
  <si>
    <t>xã Chiềng Sinh</t>
  </si>
  <si>
    <t>UBND xã Chiềng Đông</t>
  </si>
  <si>
    <t>xã Chiềng Đông</t>
  </si>
  <si>
    <t>UBND xã Rạng Đông</t>
  </si>
  <si>
    <t>xã Quài Nưa</t>
  </si>
  <si>
    <t>UBND xã Quài Nưa</t>
  </si>
  <si>
    <t>xã Quài Nưa, Pú Nhung</t>
  </si>
  <si>
    <t>168;31/10/2018</t>
  </si>
  <si>
    <t>Đường từ bản Nà Sáy 1 đến Pa Cá, xã Nà Sáy</t>
  </si>
  <si>
    <t>xã Nà Sáy</t>
  </si>
  <si>
    <t>xã Pú Nhung</t>
  </si>
  <si>
    <t>Đường từ Km 5+ 75m (lối rẽ đi Thủy điện Long Tạo) đến bản Hua Mức 1, xã Pú Xi</t>
  </si>
  <si>
    <t>xã Pú Xi</t>
  </si>
  <si>
    <t>xã Phình Sáng</t>
  </si>
  <si>
    <t>xã Mường Mùn</t>
  </si>
  <si>
    <t>Nhà văn hoá: Bản Huổi Lốt; bản Mường 1 + 2 + 3 (2 nhà)</t>
  </si>
  <si>
    <t>Nâng cấp đường từ TT xã Tênh Phông đến ngã ba Há Dùa (giai đoạn I)</t>
  </si>
  <si>
    <t>Đường QL6 - bản Co Sản, xã Mùn Chung</t>
  </si>
  <si>
    <t>UBND xã Mường Mùn</t>
  </si>
  <si>
    <t>Đường dân sinh ngầm tràn liên hợp bản Nong Tóng xã Nà Tòng</t>
  </si>
  <si>
    <t>Nước sinh hoạt trung tâm xã Phình Sáng</t>
  </si>
  <si>
    <t>Đường bản Hán xã Quài Cang</t>
  </si>
  <si>
    <t>Đường Nậm Cá - bản Hồng Lực, xã Nà Sáy</t>
  </si>
  <si>
    <t>Chương trình MTQG giảm nghèo thực hiện theo Quyết định 275/QĐ-TTg (nối tiếp Quyết định 293/QĐ-TTg)</t>
  </si>
  <si>
    <t>Sửa chữa đường Mường Khong - Hua Sát xã Mường Khong</t>
  </si>
  <si>
    <t>Nâng cấp đường QL6- bản Lồng (giai đoạn 2)</t>
  </si>
  <si>
    <t>Đường TT xã Tỏa Tình - bản Hua Sa A</t>
  </si>
  <si>
    <t>UBND xã Tênh Phông</t>
  </si>
  <si>
    <t>Năm 2020</t>
  </si>
  <si>
    <t>Thực hiện năm 2019 (năm trước)</t>
  </si>
  <si>
    <t>Nhà văn hoá thể thao xã Phình Sáng</t>
  </si>
  <si>
    <t>Đường QL6 - bản Cong xã Quài Cang</t>
  </si>
  <si>
    <t>Trường THCS xã Chiềng Đông huyện Tuần Giáo</t>
  </si>
  <si>
    <t>Đường QL6 - bản Kệt xã Quài Cang</t>
  </si>
  <si>
    <t xml:space="preserve">1493; 29/11/2016 </t>
  </si>
  <si>
    <t>1088; 29/10/2019</t>
  </si>
  <si>
    <t>132; 25/11/2015</t>
  </si>
  <si>
    <t>45; 24/03/2017</t>
  </si>
  <si>
    <t>107; 22/07/2016</t>
  </si>
  <si>
    <t>329; 31/10/2018</t>
  </si>
  <si>
    <t>146; 31/10/2019</t>
  </si>
  <si>
    <t>129; 20/11/2015</t>
  </si>
  <si>
    <t>148; 31/10/2019</t>
  </si>
  <si>
    <t>151; 31/10/2019</t>
  </si>
  <si>
    <t>149; 31/10/2019</t>
  </si>
  <si>
    <t>150; 31/10/2019</t>
  </si>
  <si>
    <t>Nhà văn hoá thể thao xã Tỏa Tình</t>
  </si>
  <si>
    <t>05;  30/10/2018</t>
  </si>
  <si>
    <t>98;  30/10/2019</t>
  </si>
  <si>
    <t>95;  30/10/2019</t>
  </si>
  <si>
    <t>73;  26/10/2018</t>
  </si>
  <si>
    <t>202c;  26/10/2018</t>
  </si>
  <si>
    <t>227;  16/11/2018</t>
  </si>
  <si>
    <t>02;  30/10/2018</t>
  </si>
  <si>
    <t>52a;  30/10/2018</t>
  </si>
  <si>
    <t>284b;  30/10/2018</t>
  </si>
  <si>
    <t>284a;  30/10/2018</t>
  </si>
  <si>
    <t>152; 30/10/2018</t>
  </si>
  <si>
    <t>204a; 30/10/2018</t>
  </si>
  <si>
    <t>Bản đặc biệt khó khăn ( 01 bản): Đường nội bản Dửn GD 2, xã Chiềng Sinh</t>
  </si>
  <si>
    <t>Số 155; 30/10/2019</t>
  </si>
  <si>
    <t>Số 156; 30/10/2019</t>
  </si>
  <si>
    <t>142; 21/10/2019</t>
  </si>
  <si>
    <t>71; 30/10/2019</t>
  </si>
  <si>
    <t>06; 30/10/2019</t>
  </si>
  <si>
    <t>UBND xã Chiềng Sinh</t>
  </si>
  <si>
    <t>Trường Mầm non Mường Mùn</t>
  </si>
  <si>
    <t>Đường từ bản Hua Mức 1 đến trụ sở tạm xã Pú Xi</t>
  </si>
  <si>
    <t>1107; 29/10/2019</t>
  </si>
  <si>
    <t>1110; 29/10/2019</t>
  </si>
  <si>
    <t>1109; 29/10/2019</t>
  </si>
  <si>
    <t>1106; 29/10/2019</t>
  </si>
  <si>
    <t>Đường Trung tâm xã Rạng Đông - bản Háng Á</t>
  </si>
  <si>
    <t>Vốn CT135: 4.659 tr.đ; NSĐP: 826 tr.đ</t>
  </si>
  <si>
    <t>Tuần Giáo, ngày         tháng      năm  2020</t>
  </si>
  <si>
    <t>Chuyển cho huyện Mường Chà 1.422 tr.đ</t>
  </si>
  <si>
    <t>Trạm y tế xã Nà Tòng</t>
  </si>
  <si>
    <t>UBND xã Nà Tòng</t>
  </si>
  <si>
    <t xml:space="preserve">Giải ngân từ 1/1/2020 đến 30/9/2020 </t>
  </si>
  <si>
    <t>Đường liên bản Pậu + bản Món + bản Hới Trong tới khu tái định cư xã Quài Tở</t>
  </si>
  <si>
    <t>Điểm trường mầm non Hua Mức 2, xã Pú Xi</t>
  </si>
  <si>
    <t>Đường từ ngã ba (Tênh Phông, Huổi Anh) đến bản Huổi Anh xã Tênh Phông</t>
  </si>
  <si>
    <t>Thủy lợi bản Cong, bản Sảo Xã Quài Cang</t>
  </si>
  <si>
    <t>Nước sinh hoạt trung tâm xã Chiềng Đông</t>
  </si>
  <si>
    <t>Sửa chữa đường bản Bó - bản Nôm - bản Chăn xã Chiềng Đông</t>
  </si>
  <si>
    <t>Nước sinh hoạt bản Ten Cá xã Quài Cang, huyện Tuần Giáo</t>
  </si>
  <si>
    <t>Thủy lợi bản Thín B xã Mường Thín, huyện Tuần Giáo</t>
  </si>
  <si>
    <t>Thủy lợi bản Nậm Chăn xã Chiềng Đông</t>
  </si>
  <si>
    <t>Trường THCS Khong Hin xã Mường Khong huyện Tuần Giáo</t>
  </si>
  <si>
    <t>Thủy lợi bản Hốc xã Mường Mùn huyện Tuần Giáo</t>
  </si>
  <si>
    <t>Thủy lợi Nà Đén (Nà Sái) xã Nà Sáy huyện Tuần Giáo</t>
  </si>
  <si>
    <t>Đường từ bản Xuân Tươi - bản Hỏm</t>
  </si>
  <si>
    <t>143; 30/10/2019</t>
  </si>
  <si>
    <t>991; 30/10/2018</t>
  </si>
  <si>
    <t>946; 29/10/2018</t>
  </si>
  <si>
    <t>988; 30/10/2018</t>
  </si>
  <si>
    <t>948; 29/10/2018</t>
  </si>
  <si>
    <t>949; 29/10/2018</t>
  </si>
  <si>
    <t>1011; 30/10/2018</t>
  </si>
  <si>
    <t>989; 30/10/2018</t>
  </si>
  <si>
    <t>947; 29/10/2018</t>
  </si>
  <si>
    <t>197; 31/10/2018</t>
  </si>
  <si>
    <t xml:space="preserve"> 104; 22/8/2018</t>
  </si>
  <si>
    <t>204; 30/10/2017</t>
  </si>
  <si>
    <t>154; 25/12/2015</t>
  </si>
  <si>
    <t>NGUỒN VỐN CÂN ĐỐI NGÂN SÁCH ĐỊA PHƯƠNG</t>
  </si>
  <si>
    <t>Trụ sở xã Phình Sáng huyện Tuần Giáo</t>
  </si>
  <si>
    <t>Trụ sở xã Tênh Phông huyện Tuần Giáo</t>
  </si>
  <si>
    <t>Trường THCS xã Quài Cang huyện Tuần Giáo</t>
  </si>
  <si>
    <t>Trường Mầm non thị trấn Tuần Giáo</t>
  </si>
  <si>
    <t>Trường MN Mùn Chung xã Mùn Chung</t>
  </si>
  <si>
    <t>1457; 17/11/2017</t>
  </si>
  <si>
    <t>1456; 14/4/2016</t>
  </si>
  <si>
    <t>984; 30/10/2018</t>
  </si>
  <si>
    <t>983; 30/10/2018</t>
  </si>
  <si>
    <t>985; 30/10/2018</t>
  </si>
  <si>
    <t>1072; 29/10/2019</t>
  </si>
  <si>
    <t>Trường Mầm non An Bình, xã Mường Mùn</t>
  </si>
  <si>
    <t>982; 30/10/2018</t>
  </si>
  <si>
    <t>C</t>
  </si>
  <si>
    <t>Ban QLDA các công trình</t>
  </si>
  <si>
    <t>UBND xã Làm chủ đầu tư</t>
  </si>
  <si>
    <t>Đường giao thông từ QL6 đến bản Lọng Hống xã Quài Nưa</t>
  </si>
  <si>
    <t>Điểm trường MN bản Hốc, bản Hỏm xã Mường Mùn</t>
  </si>
  <si>
    <t>Nhà văn hoá bản Co Đứa xã Mường Khong</t>
  </si>
  <si>
    <t xml:space="preserve">      60a;              25/10/2018</t>
  </si>
  <si>
    <t xml:space="preserve">      87                    04/11/2018</t>
  </si>
  <si>
    <t xml:space="preserve">     151                 30/10/2018</t>
  </si>
  <si>
    <t>Đường BT bản Co sáng - bản Co muông xã Quài Nưa (Giai đoạn II)</t>
  </si>
  <si>
    <t>VỐN ĐẦU TƯ NS HUYỆN</t>
  </si>
  <si>
    <t>NGUỒN ĐẤU GIÁ ĐẤT</t>
  </si>
  <si>
    <t>Đường sân vận động - huyện đội  QL6 và trận địa phòng không</t>
  </si>
  <si>
    <t>XD CSHT khu đấu giá QSD đất khu trung tâm xã Chiềng Đông</t>
  </si>
  <si>
    <t>Đường ngầm khối tân tiến bản Chiềng an</t>
  </si>
  <si>
    <t>Vỉa hè khối Tân Thủy</t>
  </si>
  <si>
    <t>Nâng cấp vỉa hè khối trường xuân</t>
  </si>
  <si>
    <t>Nâng cấp vỉa hè khối Tân Tiến - Thăng lợi</t>
  </si>
  <si>
    <t>Ước giải ngân năm 2020</t>
  </si>
  <si>
    <t>Kế hoạch năm 2020 được giao</t>
  </si>
  <si>
    <t>Số vốn kéo dài các năm trước sang năm 2020</t>
  </si>
  <si>
    <t>81             30/10/2018</t>
  </si>
  <si>
    <t>992; 30/10/2018</t>
  </si>
  <si>
    <t>Biểu số 01</t>
  </si>
  <si>
    <t>Trong đó</t>
  </si>
  <si>
    <t>Biểu số 02</t>
  </si>
  <si>
    <t>LG vốn 135: 3.086</t>
  </si>
  <si>
    <t>LG vốn NTM: 1.471,9</t>
  </si>
  <si>
    <t>LG vốn 275: 2.700</t>
  </si>
  <si>
    <t>LG vốn CĐNSĐP: 2.283</t>
  </si>
  <si>
    <t>LG vốn CĐNSĐP: 1.235</t>
  </si>
  <si>
    <t>TỔNG SỐ (A+B)</t>
  </si>
  <si>
    <t>Trong đó: NSĐP</t>
  </si>
  <si>
    <t>Trong đó NSĐP</t>
  </si>
  <si>
    <t>TỔNG SỐ (I+II+II)</t>
  </si>
  <si>
    <t>NGUỒN VỐN XỔ SỐ KIẾN THIẾT</t>
  </si>
  <si>
    <t>Giải ngân đến 31/01/2021</t>
  </si>
  <si>
    <t xml:space="preserve">Lũy kế vốn đã bố trí đến hết kế hoạch năm 2020 </t>
  </si>
  <si>
    <t>TÌNH HÌNH THỰC HIỆN VÀ GIẢI NGÂN CÁC DỰ ÁN ĐẦU TƯ CÔNG VỐN CÂN ĐỐI NGÂN SÁCH ĐỊA PHƯƠNG NĂM 2020</t>
  </si>
  <si>
    <t>TÌNH HÌNH THỰC HIỆN VÀ GIẢI NGÂN CÁC DỰ ÁN ĐẦU TƯ CÔNG VỐN CHƯƠNG TRÌNH MTQG NĂM 2020</t>
  </si>
  <si>
    <t>LG vốn nước ngoài có KH vốn là: 11.701 đã giải ngân 11.701</t>
  </si>
  <si>
    <t>LG vốn nước ngoài: 255; vốn CT 135: 373,9; NSH: 3.883,1</t>
  </si>
  <si>
    <t>Đường từ bản Co Đứa - TT xã Mường Khong, huyện Tuần Giáo</t>
  </si>
  <si>
    <t>Nộp trả huyện 648 triệu</t>
  </si>
  <si>
    <t>Nộp trả huyện 80tr vốn kéo dài 2018; 238,750tr vốn kéo dài 2019</t>
  </si>
  <si>
    <t>Số theo dõi chuyển nguồn cao hơn (1.002,960tr)</t>
  </si>
  <si>
    <t>Theo dõi số chuyển nguồn lớn hơn (1.431,094tr)</t>
  </si>
  <si>
    <t>Đơn vị tính: Triệu đồng</t>
  </si>
  <si>
    <t>Khối lượng thực hiện năm 2020</t>
  </si>
  <si>
    <t>UBND xã Quài Nưa (Chờ QT)</t>
  </si>
  <si>
    <t>Đường Hồng Lực xã Nà Sáy - bản Co Đứa xã Mường Khong</t>
  </si>
  <si>
    <t>Đường trung tâm xã Tênh Phông (Km 1+967) - bản Thẳm Nặm</t>
  </si>
  <si>
    <t>(Kèm theo Báo cáo số            /BC-UBND ngày  18 tháng 3 năm 2021 của UBND huyện Tuần Giáo)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</si>
</sst>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-* #,##0.0\ _₫_-;\-* #,##0.0\ _₫_-;_-* &quot;-&quot;??\ _₫_-;_-@_-"/>
    <numFmt numFmtId="186" formatCode="_-* #,##0\ _₫_-;\-* #,##0\ _₫_-;_-* &quot;-&quot;??\ _₫_-;_-@_-"/>
    <numFmt numFmtId="187" formatCode="#,##0;[Red]#,##0"/>
    <numFmt numFmtId="188" formatCode="_(* #,##0.0_);_(* \(#,##0.0\);_(* &quot;-&quot;??_);_(@_)"/>
    <numFmt numFmtId="189" formatCode="0.0000"/>
    <numFmt numFmtId="190" formatCode="_(* #,##0_);_(* \(#,##0\);_(* &quot;-&quot;??_);_(@_)"/>
    <numFmt numFmtId="191" formatCode="0.0%"/>
    <numFmt numFmtId="192" formatCode="0.000%"/>
    <numFmt numFmtId="193" formatCode="#,##0.000"/>
    <numFmt numFmtId="194" formatCode="0.0"/>
    <numFmt numFmtId="195" formatCode="#.##0_ ;\-#.##0\ "/>
    <numFmt numFmtId="196" formatCode="_-* #,##0_-;\-* #,##0_-;_-* &quot;-&quot;??_-;_-@_-"/>
    <numFmt numFmtId="197" formatCode="#,###"/>
    <numFmt numFmtId="198" formatCode="#,###.0"/>
    <numFmt numFmtId="199" formatCode="0.000"/>
    <numFmt numFmtId="200" formatCode="\$#,##0\ ;\(\$#,##0\)"/>
    <numFmt numFmtId="201" formatCode="&quot;\&quot;#,##0;[Red]&quot;\&quot;&quot;\&quot;\-#,##0"/>
    <numFmt numFmtId="202" formatCode="&quot;\&quot;#,##0.00;[Red]&quot;\&quot;&quot;\&quot;&quot;\&quot;&quot;\&quot;&quot;\&quot;&quot;\&quot;\-#,##0.00"/>
    <numFmt numFmtId="203" formatCode="&quot;\&quot;#,##0.00;[Red]&quot;\&quot;\-#,##0.00"/>
    <numFmt numFmtId="204" formatCode="&quot;\&quot;#,##0;[Red]&quot;\&quot;\-#,##0"/>
    <numFmt numFmtId="205" formatCode="_ &quot;\&quot;* #,##0_ ;_ &quot;\&quot;* \-#,##0_ ;_ &quot;\&quot;* &quot;-&quot;_ ;_ @_ "/>
    <numFmt numFmtId="206" formatCode="#,##0.0000"/>
    <numFmt numFmtId="207" formatCode="#,##0.00000"/>
    <numFmt numFmtId="208" formatCode="#,##0.000000"/>
    <numFmt numFmtId="209" formatCode="_-* #,##0.0\ _₫_-;\-* #,##0.0\ _₫_-;_-* &quot;-&quot;?\ _₫_-;_-@_-"/>
  </numFmts>
  <fonts count="9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8"/>
      <name val="Times New Roman"/>
      <family val="2"/>
    </font>
    <font>
      <sz val="12"/>
      <name val=".VnTime"/>
      <family val="2"/>
    </font>
    <font>
      <sz val="12"/>
      <name val=".VnArial Narrow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4"/>
      <name val="Times New Roman"/>
      <family val="1"/>
    </font>
    <font>
      <sz val="13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b/>
      <sz val="18"/>
      <color indexed="56"/>
      <name val="Times New Roman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4"/>
      <color indexed="20"/>
      <name val="Arial"/>
      <family val="2"/>
    </font>
    <font>
      <sz val="14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2"/>
      <name val="Times New Roman"/>
      <family val="1"/>
    </font>
    <font>
      <sz val="9"/>
      <name val="Arial"/>
      <family val="2"/>
    </font>
    <font>
      <sz val="11"/>
      <color indexed="8"/>
      <name val="Arial"/>
      <family val="2"/>
    </font>
    <font>
      <sz val="12"/>
      <name val="???"/>
      <family val="0"/>
    </font>
    <font>
      <sz val="14"/>
      <name val=".VnTime"/>
      <family val="2"/>
    </font>
    <font>
      <sz val="10"/>
      <name val=".vntime"/>
      <family val="2"/>
    </font>
    <font>
      <b/>
      <u val="single"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5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205" fontId="4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0" applyNumberFormat="0" applyBorder="0" applyAlignment="0" applyProtection="0"/>
    <xf numFmtId="0" fontId="68" fillId="41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69" fillId="42" borderId="2" applyNumberFormat="0" applyAlignment="0" applyProtection="0"/>
    <xf numFmtId="0" fontId="10" fillId="0" borderId="0" applyFont="0" applyFill="0" applyBorder="0" applyAlignment="0" applyProtection="0"/>
    <xf numFmtId="0" fontId="17" fillId="43" borderId="3" applyNumberFormat="0" applyAlignment="0" applyProtection="0"/>
    <xf numFmtId="0" fontId="18" fillId="13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5" fillId="44" borderId="8" applyNumberFormat="0" applyFont="0" applyAlignment="0" applyProtection="0"/>
    <xf numFmtId="0" fontId="72" fillId="45" borderId="0" applyNumberFormat="0" applyBorder="0" applyAlignment="0" applyProtection="0"/>
    <xf numFmtId="0" fontId="34" fillId="0" borderId="9" applyNumberFormat="0" applyAlignment="0" applyProtection="0"/>
    <xf numFmtId="0" fontId="34" fillId="0" borderId="10">
      <alignment horizontal="left" vertical="center"/>
      <protection/>
    </xf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6" borderId="1" applyNumberFormat="0" applyAlignment="0" applyProtection="0"/>
    <xf numFmtId="0" fontId="22" fillId="47" borderId="14" applyNumberFormat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78" fillId="0" borderId="15" applyNumberFormat="0" applyFill="0" applyAlignment="0" applyProtection="0"/>
    <xf numFmtId="0" fontId="33" fillId="0" borderId="0" applyNumberFormat="0" applyFont="0" applyFill="0" applyAlignment="0">
      <protection/>
    </xf>
    <xf numFmtId="0" fontId="79" fillId="48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8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4" fillId="0" borderId="0">
      <alignment/>
      <protection/>
    </xf>
    <xf numFmtId="0" fontId="10" fillId="0" borderId="0">
      <alignment/>
      <protection/>
    </xf>
    <xf numFmtId="0" fontId="1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84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3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49" borderId="16" applyNumberFormat="0" applyFont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3" borderId="0" applyNumberFormat="0" applyBorder="0" applyAlignment="0" applyProtection="0"/>
    <xf numFmtId="0" fontId="86" fillId="41" borderId="17" applyNumberFormat="0" applyAlignment="0" applyProtection="0"/>
    <xf numFmtId="0" fontId="23" fillId="0" borderId="18" applyNumberFormat="0" applyFill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43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10" borderId="0" applyNumberFormat="0" applyBorder="0" applyAlignment="0" applyProtection="0"/>
    <xf numFmtId="0" fontId="28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9" borderId="0" applyNumberFormat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37" fillId="0" borderId="0">
      <alignment/>
      <protection/>
    </xf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0" fontId="39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184" fontId="5" fillId="0" borderId="2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1" fillId="0" borderId="21" xfId="241" applyNumberFormat="1" applyFont="1" applyFill="1" applyBorder="1" applyAlignment="1">
      <alignment horizontal="left" vertical="center" wrapText="1"/>
      <protection/>
    </xf>
    <xf numFmtId="3" fontId="11" fillId="0" borderId="21" xfId="241" applyNumberFormat="1" applyFont="1" applyFill="1" applyBorder="1" applyAlignment="1" quotePrefix="1">
      <alignment horizontal="center" vertical="center" wrapText="1"/>
      <protection/>
    </xf>
    <xf numFmtId="3" fontId="5" fillId="0" borderId="21" xfId="241" applyNumberFormat="1" applyFont="1" applyFill="1" applyBorder="1" applyAlignment="1" quotePrefix="1">
      <alignment horizontal="right" vertical="center" wrapText="1"/>
      <protection/>
    </xf>
    <xf numFmtId="184" fontId="11" fillId="0" borderId="21" xfId="0" applyNumberFormat="1" applyFont="1" applyFill="1" applyBorder="1" applyAlignment="1">
      <alignment horizontal="right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shrinkToFit="1"/>
    </xf>
    <xf numFmtId="184" fontId="11" fillId="0" borderId="21" xfId="0" applyNumberFormat="1" applyFont="1" applyFill="1" applyBorder="1" applyAlignment="1">
      <alignment horizontal="justify" vertical="center" wrapText="1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1" fillId="0" borderId="21" xfId="241" applyNumberFormat="1" applyFont="1" applyFill="1" applyBorder="1" applyAlignment="1">
      <alignment horizontal="center" vertical="center" wrapText="1"/>
      <protection/>
    </xf>
    <xf numFmtId="184" fontId="11" fillId="0" borderId="21" xfId="241" applyNumberFormat="1" applyFont="1" applyFill="1" applyBorder="1" applyAlignment="1" quotePrefix="1">
      <alignment horizontal="center" vertical="center" wrapText="1"/>
      <protection/>
    </xf>
    <xf numFmtId="3" fontId="11" fillId="0" borderId="21" xfId="241" applyNumberFormat="1" applyFont="1" applyFill="1" applyBorder="1" applyAlignment="1" quotePrefix="1">
      <alignment horizontal="right" vertical="center" wrapText="1"/>
      <protection/>
    </xf>
    <xf numFmtId="3" fontId="11" fillId="0" borderId="21" xfId="63" applyNumberFormat="1" applyFont="1" applyFill="1" applyBorder="1" applyAlignment="1">
      <alignment horizontal="right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21" xfId="241" applyNumberFormat="1" applyFont="1" applyFill="1" applyBorder="1" applyAlignment="1">
      <alignment horizontal="right" vertical="center" wrapText="1"/>
      <protection/>
    </xf>
    <xf numFmtId="184" fontId="11" fillId="0" borderId="21" xfId="0" applyNumberFormat="1" applyFont="1" applyFill="1" applyBorder="1" applyAlignment="1">
      <alignment horizontal="left" vertical="center" wrapText="1"/>
    </xf>
    <xf numFmtId="184" fontId="11" fillId="0" borderId="0" xfId="0" applyNumberFormat="1" applyFont="1" applyFill="1" applyBorder="1" applyAlignment="1">
      <alignment horizontal="left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84" fontId="11" fillId="0" borderId="0" xfId="241" applyNumberFormat="1" applyFont="1" applyFill="1" applyBorder="1" applyAlignment="1">
      <alignment horizontal="center" vertical="center" wrapText="1"/>
      <protection/>
    </xf>
    <xf numFmtId="184" fontId="5" fillId="0" borderId="21" xfId="241" applyNumberFormat="1" applyFont="1" applyFill="1" applyBorder="1" applyAlignment="1" quotePrefix="1">
      <alignment horizontal="right" vertical="center" wrapText="1"/>
      <protection/>
    </xf>
    <xf numFmtId="3" fontId="5" fillId="0" borderId="0" xfId="241" applyNumberFormat="1" applyFont="1" applyFill="1" applyBorder="1" applyAlignment="1" quotePrefix="1">
      <alignment horizontal="right" vertical="center" wrapText="1"/>
      <protection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1" fillId="0" borderId="10" xfId="241" applyNumberFormat="1" applyFont="1" applyFill="1" applyBorder="1" applyAlignment="1">
      <alignment horizontal="center" vertical="center" wrapText="1"/>
      <protection/>
    </xf>
    <xf numFmtId="184" fontId="11" fillId="0" borderId="21" xfId="241" applyNumberFormat="1" applyFont="1" applyFill="1" applyBorder="1" applyAlignment="1" quotePrefix="1">
      <alignment horizontal="right" vertical="center" wrapText="1"/>
      <protection/>
    </xf>
    <xf numFmtId="3" fontId="5" fillId="0" borderId="21" xfId="241" applyNumberFormat="1" applyFont="1" applyFill="1" applyBorder="1" applyAlignment="1">
      <alignment horizontal="center" vertical="center" wrapText="1"/>
      <protection/>
    </xf>
    <xf numFmtId="184" fontId="5" fillId="0" borderId="21" xfId="0" applyNumberFormat="1" applyFont="1" applyFill="1" applyBorder="1" applyAlignment="1">
      <alignment horizontal="justify" vertical="center" wrapText="1"/>
    </xf>
    <xf numFmtId="184" fontId="5" fillId="0" borderId="21" xfId="0" applyNumberFormat="1" applyFont="1" applyFill="1" applyBorder="1" applyAlignment="1">
      <alignment horizontal="center" vertical="center" wrapText="1"/>
    </xf>
    <xf numFmtId="184" fontId="5" fillId="0" borderId="21" xfId="241" applyNumberFormat="1" applyFont="1" applyFill="1" applyBorder="1" applyAlignment="1">
      <alignment horizontal="center" vertical="center" wrapText="1"/>
      <protection/>
    </xf>
    <xf numFmtId="184" fontId="5" fillId="0" borderId="21" xfId="241" applyNumberFormat="1" applyFont="1" applyFill="1" applyBorder="1" applyAlignment="1" quotePrefix="1">
      <alignment horizontal="center" vertical="center" wrapText="1"/>
      <protection/>
    </xf>
    <xf numFmtId="3" fontId="5" fillId="0" borderId="21" xfId="63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shrinkToFit="1"/>
    </xf>
    <xf numFmtId="3" fontId="5" fillId="0" borderId="21" xfId="241" applyNumberFormat="1" applyFont="1" applyFill="1" applyBorder="1" applyAlignment="1" quotePrefix="1">
      <alignment horizontal="center" vertical="center" wrapText="1"/>
      <protection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84" fontId="11" fillId="0" borderId="21" xfId="63" applyNumberFormat="1" applyFont="1" applyFill="1" applyBorder="1" applyAlignment="1">
      <alignment horizontal="right" vertical="center" wrapText="1"/>
    </xf>
    <xf numFmtId="184" fontId="11" fillId="0" borderId="21" xfId="241" applyNumberFormat="1" applyFont="1" applyFill="1" applyBorder="1" applyAlignment="1">
      <alignment horizontal="right" vertical="center" wrapText="1"/>
      <protection/>
    </xf>
    <xf numFmtId="0" fontId="5" fillId="0" borderId="21" xfId="241" applyNumberFormat="1" applyFont="1" applyFill="1" applyBorder="1" applyAlignment="1">
      <alignment horizontal="center" vertical="center" wrapText="1"/>
      <protection/>
    </xf>
    <xf numFmtId="184" fontId="5" fillId="0" borderId="21" xfId="241" applyNumberFormat="1" applyFont="1" applyFill="1" applyBorder="1" applyAlignment="1" quotePrefix="1">
      <alignment horizontal="left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184" fontId="5" fillId="0" borderId="2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185" fontId="5" fillId="0" borderId="0" xfId="63" applyNumberFormat="1" applyFont="1" applyFill="1" applyAlignment="1">
      <alignment/>
    </xf>
    <xf numFmtId="0" fontId="40" fillId="0" borderId="21" xfId="241" applyNumberFormat="1" applyFont="1" applyFill="1" applyBorder="1" applyAlignment="1">
      <alignment horizontal="center" vertical="center" wrapText="1"/>
      <protection/>
    </xf>
    <xf numFmtId="184" fontId="5" fillId="0" borderId="21" xfId="241" applyNumberFormat="1" applyFont="1" applyFill="1" applyBorder="1" applyAlignment="1">
      <alignment horizontal="left" vertical="center" wrapText="1"/>
      <protection/>
    </xf>
    <xf numFmtId="0" fontId="11" fillId="0" borderId="21" xfId="0" applyFont="1" applyFill="1" applyBorder="1" applyAlignment="1">
      <alignment vertical="center" wrapText="1"/>
    </xf>
    <xf numFmtId="187" fontId="11" fillId="0" borderId="21" xfId="242" applyNumberFormat="1" applyFont="1" applyFill="1" applyBorder="1" applyAlignment="1">
      <alignment horizontal="left" wrapText="1"/>
      <protection/>
    </xf>
    <xf numFmtId="3" fontId="40" fillId="0" borderId="21" xfId="241" applyNumberFormat="1" applyFont="1" applyFill="1" applyBorder="1" applyAlignment="1" quotePrefix="1">
      <alignment horizontal="right" vertical="center" wrapText="1"/>
      <protection/>
    </xf>
    <xf numFmtId="184" fontId="5" fillId="0" borderId="21" xfId="63" applyNumberFormat="1" applyFont="1" applyFill="1" applyBorder="1" applyAlignment="1">
      <alignment horizontal="right" vertical="center" wrapText="1"/>
    </xf>
    <xf numFmtId="184" fontId="5" fillId="0" borderId="0" xfId="63" applyNumberFormat="1" applyFont="1" applyFill="1" applyBorder="1" applyAlignment="1">
      <alignment horizontal="right" vertical="center" wrapText="1"/>
    </xf>
    <xf numFmtId="3" fontId="11" fillId="0" borderId="21" xfId="241" applyNumberFormat="1" applyFont="1" applyFill="1" applyBorder="1" applyAlignment="1">
      <alignment horizontal="center" vertical="center" wrapText="1"/>
      <protection/>
    </xf>
    <xf numFmtId="193" fontId="11" fillId="0" borderId="0" xfId="241" applyNumberFormat="1" applyFont="1" applyFill="1" applyBorder="1" applyAlignment="1">
      <alignment vertical="center" wrapText="1"/>
      <protection/>
    </xf>
    <xf numFmtId="4" fontId="11" fillId="0" borderId="0" xfId="241" applyNumberFormat="1" applyFont="1" applyFill="1" applyBorder="1" applyAlignment="1">
      <alignment vertical="center" wrapText="1"/>
      <protection/>
    </xf>
    <xf numFmtId="3" fontId="11" fillId="0" borderId="0" xfId="241" applyNumberFormat="1" applyFont="1" applyFill="1" applyBorder="1" applyAlignment="1">
      <alignment vertical="center" wrapText="1"/>
      <protection/>
    </xf>
    <xf numFmtId="3" fontId="11" fillId="0" borderId="21" xfId="241" applyNumberFormat="1" applyFont="1" applyFill="1" applyBorder="1" applyAlignment="1">
      <alignment vertical="center" wrapText="1"/>
      <protection/>
    </xf>
    <xf numFmtId="3" fontId="11" fillId="0" borderId="0" xfId="241" applyNumberFormat="1" applyFont="1" applyFill="1" applyBorder="1" applyAlignment="1">
      <alignment horizontal="left" vertical="center" wrapText="1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206" fontId="11" fillId="0" borderId="0" xfId="241" applyNumberFormat="1" applyFont="1" applyFill="1" applyBorder="1" applyAlignment="1">
      <alignment vertical="center" wrapText="1"/>
      <protection/>
    </xf>
    <xf numFmtId="3" fontId="5" fillId="0" borderId="0" xfId="0" applyNumberFormat="1" applyFont="1" applyFill="1" applyAlignment="1">
      <alignment vertical="center" shrinkToFit="1"/>
    </xf>
    <xf numFmtId="186" fontId="5" fillId="0" borderId="0" xfId="63" applyNumberFormat="1" applyFont="1" applyFill="1" applyAlignment="1">
      <alignment vertical="center" shrinkToFit="1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0" xfId="241" applyNumberFormat="1" applyFont="1" applyFill="1" applyBorder="1" applyAlignment="1">
      <alignment horizontal="center" vertical="center" wrapText="1"/>
      <protection/>
    </xf>
    <xf numFmtId="188" fontId="11" fillId="0" borderId="23" xfId="73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206" fontId="11" fillId="0" borderId="0" xfId="241" applyNumberFormat="1" applyFont="1" applyFill="1" applyBorder="1" applyAlignment="1">
      <alignment horizontal="center" vertical="center" wrapText="1"/>
      <protection/>
    </xf>
    <xf numFmtId="184" fontId="11" fillId="0" borderId="21" xfId="0" applyNumberFormat="1" applyFont="1" applyFill="1" applyBorder="1" applyAlignment="1">
      <alignment vertical="center" wrapText="1"/>
    </xf>
  </cellXfs>
  <cellStyles count="266">
    <cellStyle name="Normal" xfId="0"/>
    <cellStyle name="&#10;&#10;JournalTemplate=C:\COMFO\CTALK\JOURSTD.TPL&#10;&#10;LbStateAddress=3 3 0 251 1 89 2 311&#10;&#10;LbStateJou" xfId="15"/>
    <cellStyle name="&#13;&#10;JournalTemplate=C:\COMFO\CTALK\JOURSTD.TPL&#13;&#10;LbStateAddress=3 3 0 251 1 89 2 311&#13;&#10;LbStateJou" xfId="16"/>
    <cellStyle name="&#13;&#10;JournalTemplate=C:\COMFO\CTALK\JOURSTD.TPL&#13;&#10;LbStateAddress=3 3 0 251 1 89 2 311&#13;&#10;LbStateJou 3" xfId="17"/>
    <cellStyle name="~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Nhấn1" xfId="25"/>
    <cellStyle name="20% - Nhấn2" xfId="26"/>
    <cellStyle name="20% - Nhấn3" xfId="27"/>
    <cellStyle name="20% - Nhấn4" xfId="28"/>
    <cellStyle name="20% - Nhấn5" xfId="29"/>
    <cellStyle name="20% - Nhấn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Nhấn1" xfId="37"/>
    <cellStyle name="40% - Nhấn2" xfId="38"/>
    <cellStyle name="40% - Nhấn3" xfId="39"/>
    <cellStyle name="40% - Nhấn4" xfId="40"/>
    <cellStyle name="40% - Nhấn5" xfId="41"/>
    <cellStyle name="40% - Nhấn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Nhấn1" xfId="49"/>
    <cellStyle name="60% - Nhấn2" xfId="50"/>
    <cellStyle name="60% - Nhấn3" xfId="51"/>
    <cellStyle name="60% - Nhấn4" xfId="52"/>
    <cellStyle name="60% - Nhấn5" xfId="53"/>
    <cellStyle name="60% - Nhấn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omma" xfId="63"/>
    <cellStyle name="Comma [0]" xfId="64"/>
    <cellStyle name="Comma [0] 12" xfId="65"/>
    <cellStyle name="Comma [0] 2" xfId="66"/>
    <cellStyle name="Comma [0] 2 2" xfId="67"/>
    <cellStyle name="Comma [0] 3" xfId="68"/>
    <cellStyle name="Comma [0] 4" xfId="69"/>
    <cellStyle name="Comma [0] 4 2" xfId="70"/>
    <cellStyle name="Comma [0] 5" xfId="71"/>
    <cellStyle name="Comma 10" xfId="72"/>
    <cellStyle name="Comma 10 10" xfId="73"/>
    <cellStyle name="Comma 10 2" xfId="74"/>
    <cellStyle name="Comma 10 2 2" xfId="75"/>
    <cellStyle name="Comma 10 2 3" xfId="76"/>
    <cellStyle name="Comma 11" xfId="77"/>
    <cellStyle name="Comma 12" xfId="78"/>
    <cellStyle name="Comma 13" xfId="79"/>
    <cellStyle name="Comma 14" xfId="80"/>
    <cellStyle name="Comma 14 2" xfId="81"/>
    <cellStyle name="Comma 14 2 2" xfId="82"/>
    <cellStyle name="Comma 14 2 2 2" xfId="83"/>
    <cellStyle name="Comma 14 3" xfId="84"/>
    <cellStyle name="Comma 15" xfId="85"/>
    <cellStyle name="Comma 16" xfId="86"/>
    <cellStyle name="Comma 16 3" xfId="87"/>
    <cellStyle name="Comma 17" xfId="88"/>
    <cellStyle name="Comma 18" xfId="89"/>
    <cellStyle name="Comma 18 2" xfId="90"/>
    <cellStyle name="Comma 19" xfId="91"/>
    <cellStyle name="Comma 2" xfId="92"/>
    <cellStyle name="Comma 2 10" xfId="93"/>
    <cellStyle name="Comma 2 2" xfId="94"/>
    <cellStyle name="Comma 2 2 2" xfId="95"/>
    <cellStyle name="Comma 2 2 2 24" xfId="96"/>
    <cellStyle name="Comma 2 28" xfId="97"/>
    <cellStyle name="Comma 2 3" xfId="98"/>
    <cellStyle name="Comma 2 3 2" xfId="99"/>
    <cellStyle name="Comma 2 3 2 5" xfId="100"/>
    <cellStyle name="Comma 2 32" xfId="101"/>
    <cellStyle name="Comma 2 4" xfId="102"/>
    <cellStyle name="Comma 2 5" xfId="103"/>
    <cellStyle name="Comma 2 6" xfId="104"/>
    <cellStyle name="Comma 2_Bieu TH" xfId="105"/>
    <cellStyle name="Comma 20" xfId="106"/>
    <cellStyle name="Comma 21" xfId="107"/>
    <cellStyle name="Comma 22" xfId="108"/>
    <cellStyle name="Comma 23" xfId="109"/>
    <cellStyle name="Comma 24" xfId="110"/>
    <cellStyle name="Comma 25" xfId="111"/>
    <cellStyle name="Comma 26" xfId="112"/>
    <cellStyle name="Comma 27" xfId="113"/>
    <cellStyle name="Comma 28" xfId="114"/>
    <cellStyle name="Comma 28 2" xfId="115"/>
    <cellStyle name="Comma 28 3" xfId="116"/>
    <cellStyle name="Comma 3" xfId="117"/>
    <cellStyle name="Comma 3 2 2" xfId="118"/>
    <cellStyle name="Comma 3 2 6" xfId="119"/>
    <cellStyle name="Comma 3 3" xfId="120"/>
    <cellStyle name="Comma 4" xfId="121"/>
    <cellStyle name="Comma 4 2" xfId="122"/>
    <cellStyle name="Comma 5" xfId="123"/>
    <cellStyle name="Comma 5 2" xfId="124"/>
    <cellStyle name="Comma 6" xfId="125"/>
    <cellStyle name="Comma 7" xfId="126"/>
    <cellStyle name="Comma 7 2" xfId="127"/>
    <cellStyle name="Comma 7 2 2 3" xfId="128"/>
    <cellStyle name="Comma 76" xfId="129"/>
    <cellStyle name="Comma 8" xfId="130"/>
    <cellStyle name="Comma 9" xfId="131"/>
    <cellStyle name="Comma0" xfId="132"/>
    <cellStyle name="Currency" xfId="133"/>
    <cellStyle name="Currency [0]" xfId="134"/>
    <cellStyle name="Currency0" xfId="135"/>
    <cellStyle name="Check Cell" xfId="136"/>
    <cellStyle name="Date" xfId="137"/>
    <cellStyle name="Đầu ra" xfId="138"/>
    <cellStyle name="Đầu vào" xfId="139"/>
    <cellStyle name="Đề mục 1" xfId="140"/>
    <cellStyle name="Đề mục 2" xfId="141"/>
    <cellStyle name="Đề mục 3" xfId="142"/>
    <cellStyle name="Đề mục 4" xfId="143"/>
    <cellStyle name="Explanatory Text" xfId="144"/>
    <cellStyle name="Fixed" xfId="145"/>
    <cellStyle name="Followed Hyperlink" xfId="146"/>
    <cellStyle name="Ghi chú" xfId="147"/>
    <cellStyle name="Good" xfId="148"/>
    <cellStyle name="Header1" xfId="149"/>
    <cellStyle name="Header2" xfId="150"/>
    <cellStyle name="Heading 1" xfId="151"/>
    <cellStyle name="Heading 2" xfId="152"/>
    <cellStyle name="Heading 3" xfId="153"/>
    <cellStyle name="Heading 4" xfId="154"/>
    <cellStyle name="Hyperlink" xfId="155"/>
    <cellStyle name="Input" xfId="156"/>
    <cellStyle name="Kiểm tra Ô" xfId="157"/>
    <cellStyle name="Ledger 17 x 11 in" xfId="158"/>
    <cellStyle name="Ledger 17 x 11 in 2" xfId="159"/>
    <cellStyle name="Ledger 17 x 11 in 2 2" xfId="160"/>
    <cellStyle name="Ledger 17 x 11 in 3 2" xfId="161"/>
    <cellStyle name="Ledger 17 x 11 in_13_DCBC_NSDP_tỉnh bieu" xfId="162"/>
    <cellStyle name="Linked Cell" xfId="163"/>
    <cellStyle name="n" xfId="164"/>
    <cellStyle name="Neutral" xfId="165"/>
    <cellStyle name="Normal 10" xfId="166"/>
    <cellStyle name="Normal 10 2" xfId="167"/>
    <cellStyle name="Normal 10 2 2" xfId="168"/>
    <cellStyle name="Normal 10 2 2 2" xfId="169"/>
    <cellStyle name="Normal 10 2 3" xfId="170"/>
    <cellStyle name="Normal 10 3" xfId="171"/>
    <cellStyle name="Normal 11" xfId="172"/>
    <cellStyle name="Normal 12" xfId="173"/>
    <cellStyle name="Normal 12 2" xfId="174"/>
    <cellStyle name="Normal 13" xfId="175"/>
    <cellStyle name="Normal 14" xfId="176"/>
    <cellStyle name="Normal 15" xfId="177"/>
    <cellStyle name="Normal 17" xfId="178"/>
    <cellStyle name="Normal 19" xfId="179"/>
    <cellStyle name="Normal 19 2" xfId="180"/>
    <cellStyle name="Normal 19 2 2" xfId="181"/>
    <cellStyle name="Normal 19 3" xfId="182"/>
    <cellStyle name="Normal 19 3 2" xfId="183"/>
    <cellStyle name="Normal 2" xfId="184"/>
    <cellStyle name="Normal 2 10" xfId="185"/>
    <cellStyle name="Normal 2 2" xfId="186"/>
    <cellStyle name="Normal 2 2 10" xfId="187"/>
    <cellStyle name="Normal 2 2 2" xfId="188"/>
    <cellStyle name="Normal 2 2 2 2" xfId="189"/>
    <cellStyle name="Normal 2 2 3" xfId="190"/>
    <cellStyle name="Normal 2 2 33" xfId="191"/>
    <cellStyle name="Normal 2 3" xfId="192"/>
    <cellStyle name="Normal 2 32" xfId="193"/>
    <cellStyle name="Normal 2 35" xfId="194"/>
    <cellStyle name="Normal 2 4" xfId="195"/>
    <cellStyle name="Normal 2 4 2" xfId="196"/>
    <cellStyle name="Normal 2 4 3" xfId="197"/>
    <cellStyle name="Normal 2 4 4" xfId="198"/>
    <cellStyle name="Normal 2 5" xfId="199"/>
    <cellStyle name="Normal 2 6" xfId="200"/>
    <cellStyle name="Normal 2_Bieu TH" xfId="201"/>
    <cellStyle name="Normal 22" xfId="202"/>
    <cellStyle name="Normal 22 2" xfId="203"/>
    <cellStyle name="Normal 22 2 2" xfId="204"/>
    <cellStyle name="Normal 28 2 3" xfId="205"/>
    <cellStyle name="Normal 3" xfId="206"/>
    <cellStyle name="Normal 3 2" xfId="207"/>
    <cellStyle name="Normal 3 2 2" xfId="208"/>
    <cellStyle name="Normal 3 3" xfId="209"/>
    <cellStyle name="Normal 3_Bieu 05a" xfId="210"/>
    <cellStyle name="Normal 32 2" xfId="211"/>
    <cellStyle name="Normal 33" xfId="212"/>
    <cellStyle name="Normal 34" xfId="213"/>
    <cellStyle name="Normal 34 2" xfId="214"/>
    <cellStyle name="Normal 34_1460 Sua" xfId="215"/>
    <cellStyle name="Normal 35" xfId="216"/>
    <cellStyle name="Normal 38" xfId="217"/>
    <cellStyle name="Normal 4" xfId="218"/>
    <cellStyle name="Normal 4 18" xfId="219"/>
    <cellStyle name="Normal 4 2" xfId="220"/>
    <cellStyle name="Normal 4 2 2" xfId="221"/>
    <cellStyle name="Normal 4 2 3" xfId="222"/>
    <cellStyle name="Normal 4 3" xfId="223"/>
    <cellStyle name="Normal 4 4" xfId="224"/>
    <cellStyle name="Normal 4 5" xfId="225"/>
    <cellStyle name="Normal 4_Bieu 05a" xfId="226"/>
    <cellStyle name="Normal 5" xfId="227"/>
    <cellStyle name="Normal 5 2" xfId="228"/>
    <cellStyle name="Normal 56" xfId="229"/>
    <cellStyle name="Normal 6" xfId="230"/>
    <cellStyle name="Normal 6 11" xfId="231"/>
    <cellStyle name="Normal 6 11 2" xfId="232"/>
    <cellStyle name="Normal 6 4" xfId="233"/>
    <cellStyle name="Normal 6_Tong hop danh muc 2013-2015 van xa" xfId="234"/>
    <cellStyle name="Normal 7" xfId="235"/>
    <cellStyle name="Normal 7 2" xfId="236"/>
    <cellStyle name="Normal 8" xfId="237"/>
    <cellStyle name="Normal 9" xfId="238"/>
    <cellStyle name="Normal 9 2" xfId="239"/>
    <cellStyle name="Normal 91" xfId="240"/>
    <cellStyle name="Normal_Bieu mau (CV )" xfId="241"/>
    <cellStyle name="Normal_Sheet1" xfId="242"/>
    <cellStyle name="Note" xfId="243"/>
    <cellStyle name="Nhấn1" xfId="244"/>
    <cellStyle name="Nhấn2" xfId="245"/>
    <cellStyle name="Nhấn3" xfId="246"/>
    <cellStyle name="Nhấn4" xfId="247"/>
    <cellStyle name="Nhấn5" xfId="248"/>
    <cellStyle name="Nhấn6" xfId="249"/>
    <cellStyle name="Output" xfId="250"/>
    <cellStyle name="Ô Được nối kết" xfId="251"/>
    <cellStyle name="Percent" xfId="252"/>
    <cellStyle name="Percent 2" xfId="253"/>
    <cellStyle name="Percent 2 2" xfId="254"/>
    <cellStyle name="Style 1" xfId="255"/>
    <cellStyle name="Style 1 2" xfId="256"/>
    <cellStyle name="Style 1 4" xfId="257"/>
    <cellStyle name="Tiêu đề" xfId="258"/>
    <cellStyle name="Tính toán" xfId="259"/>
    <cellStyle name="Title" xfId="260"/>
    <cellStyle name="Total" xfId="261"/>
    <cellStyle name="Tổng" xfId="262"/>
    <cellStyle name="Tốt" xfId="263"/>
    <cellStyle name="Trung tính" xfId="264"/>
    <cellStyle name="Văn bản Cảnh báo" xfId="265"/>
    <cellStyle name="Văn bản Giải thích" xfId="266"/>
    <cellStyle name="Warning Text" xfId="267"/>
    <cellStyle name="Xấu" xfId="268"/>
    <cellStyle name="똿뗦먛귟 [0.00]_PRODUCT DETAIL Q1" xfId="269"/>
    <cellStyle name="똿뗦먛귟_PRODUCT DETAIL Q1" xfId="270"/>
    <cellStyle name="믅됞 [0.00]_PRODUCT DETAIL Q1" xfId="271"/>
    <cellStyle name="믅됞_PRODUCT DETAIL Q1" xfId="272"/>
    <cellStyle name="백분율_HOBONG" xfId="273"/>
    <cellStyle name="뷭?_BOOKSHIP" xfId="274"/>
    <cellStyle name="콤마 [0]_1202" xfId="275"/>
    <cellStyle name="콤마_1202" xfId="276"/>
    <cellStyle name="통화 [0]_1202" xfId="277"/>
    <cellStyle name="통화_1202" xfId="278"/>
    <cellStyle name="표준_(정보부문)월별인원계획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view="pageBreakPreview" zoomScale="70" zoomScaleNormal="70" zoomScaleSheetLayoutView="70" zoomScalePageLayoutView="0" workbookViewId="0" topLeftCell="A64">
      <selection activeCell="A1" sqref="A1:IV16384"/>
    </sheetView>
  </sheetViews>
  <sheetFormatPr defaultColWidth="9.33203125" defaultRowHeight="12.75"/>
  <cols>
    <col min="1" max="1" width="5" style="13" customWidth="1"/>
    <col min="2" max="2" width="39" style="13" customWidth="1"/>
    <col min="3" max="3" width="10.83203125" style="13" hidden="1" customWidth="1"/>
    <col min="4" max="4" width="5.33203125" style="13" hidden="1" customWidth="1"/>
    <col min="5" max="5" width="7.83203125" style="13" hidden="1" customWidth="1"/>
    <col min="6" max="6" width="13.83203125" style="13" customWidth="1"/>
    <col min="7" max="7" width="11.33203125" style="13" customWidth="1"/>
    <col min="8" max="8" width="11.66015625" style="13" customWidth="1"/>
    <col min="9" max="10" width="9.83203125" style="13" hidden="1" customWidth="1"/>
    <col min="11" max="11" width="6.16015625" style="13" hidden="1" customWidth="1"/>
    <col min="12" max="12" width="7.16015625" style="13" hidden="1" customWidth="1"/>
    <col min="13" max="13" width="10.5" style="13" hidden="1" customWidth="1"/>
    <col min="14" max="14" width="9.5" style="13" hidden="1" customWidth="1"/>
    <col min="15" max="15" width="11.66015625" style="13" customWidth="1"/>
    <col min="16" max="16" width="11.83203125" style="13" customWidth="1"/>
    <col min="17" max="17" width="11.66015625" style="13" customWidth="1"/>
    <col min="18" max="18" width="12" style="13" customWidth="1"/>
    <col min="19" max="19" width="10.83203125" style="13" customWidth="1"/>
    <col min="20" max="20" width="10.33203125" style="13" hidden="1" customWidth="1"/>
    <col min="21" max="21" width="9.83203125" style="13" hidden="1" customWidth="1"/>
    <col min="22" max="22" width="10.16015625" style="13" hidden="1" customWidth="1"/>
    <col min="23" max="23" width="9.83203125" style="13" hidden="1" customWidth="1"/>
    <col min="24" max="24" width="10.66015625" style="13" hidden="1" customWidth="1"/>
    <col min="25" max="25" width="10.16015625" style="13" hidden="1" customWidth="1"/>
    <col min="26" max="26" width="13.5" style="13" customWidth="1"/>
    <col min="27" max="29" width="12" style="13" customWidth="1"/>
    <col min="30" max="31" width="11.16015625" style="14" customWidth="1"/>
    <col min="32" max="32" width="21.83203125" style="13" customWidth="1"/>
    <col min="33" max="33" width="30.66015625" style="13" customWidth="1"/>
    <col min="34" max="34" width="18.5" style="13" customWidth="1"/>
    <col min="35" max="35" width="18" style="13" customWidth="1"/>
    <col min="36" max="36" width="54" style="13" customWidth="1"/>
    <col min="37" max="16384" width="9.33203125" style="13" customWidth="1"/>
  </cols>
  <sheetData>
    <row r="1" spans="1:33" ht="22.5" customHeight="1">
      <c r="A1" s="2" t="s">
        <v>189</v>
      </c>
      <c r="AD1" s="1" t="s">
        <v>13</v>
      </c>
      <c r="AF1" s="3"/>
      <c r="AG1" s="3"/>
    </row>
    <row r="2" spans="1:33" ht="18" customHeight="1">
      <c r="A2" s="88" t="s">
        <v>205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3"/>
    </row>
    <row r="3" spans="1:33" ht="15.75" customHeight="1">
      <c r="A3" s="89" t="s">
        <v>218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15"/>
    </row>
    <row r="4" spans="31:33" ht="15" customHeight="1">
      <c r="AE4" s="102" t="s">
        <v>213</v>
      </c>
      <c r="AF4" s="102"/>
      <c r="AG4" s="17"/>
    </row>
    <row r="5" spans="1:33" ht="69" customHeight="1">
      <c r="A5" s="87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87" t="s">
        <v>5</v>
      </c>
      <c r="G5" s="87"/>
      <c r="H5" s="87"/>
      <c r="I5" s="87" t="s">
        <v>38</v>
      </c>
      <c r="J5" s="87"/>
      <c r="K5" s="87"/>
      <c r="L5" s="87"/>
      <c r="M5" s="87" t="s">
        <v>76</v>
      </c>
      <c r="N5" s="87"/>
      <c r="O5" s="93" t="s">
        <v>75</v>
      </c>
      <c r="P5" s="98"/>
      <c r="Q5" s="98"/>
      <c r="R5" s="98"/>
      <c r="S5" s="98"/>
      <c r="T5" s="98"/>
      <c r="U5" s="98"/>
      <c r="V5" s="98"/>
      <c r="W5" s="94"/>
      <c r="X5" s="87" t="s">
        <v>203</v>
      </c>
      <c r="Y5" s="87"/>
      <c r="Z5" s="90" t="s">
        <v>214</v>
      </c>
      <c r="AA5" s="103" t="s">
        <v>202</v>
      </c>
      <c r="AB5" s="104"/>
      <c r="AC5" s="104"/>
      <c r="AD5" s="104"/>
      <c r="AE5" s="105"/>
      <c r="AF5" s="87" t="s">
        <v>6</v>
      </c>
      <c r="AG5" s="4"/>
    </row>
    <row r="6" spans="1:33" ht="24.75" customHeight="1">
      <c r="A6" s="87"/>
      <c r="B6" s="87"/>
      <c r="C6" s="87"/>
      <c r="D6" s="87"/>
      <c r="E6" s="87"/>
      <c r="F6" s="87" t="s">
        <v>8</v>
      </c>
      <c r="G6" s="87" t="s">
        <v>15</v>
      </c>
      <c r="H6" s="87"/>
      <c r="I6" s="87"/>
      <c r="J6" s="87"/>
      <c r="K6" s="87"/>
      <c r="L6" s="87"/>
      <c r="M6" s="87" t="s">
        <v>7</v>
      </c>
      <c r="N6" s="87" t="s">
        <v>16</v>
      </c>
      <c r="O6" s="90" t="s">
        <v>12</v>
      </c>
      <c r="P6" s="99" t="s">
        <v>190</v>
      </c>
      <c r="Q6" s="100"/>
      <c r="R6" s="100"/>
      <c r="S6" s="101"/>
      <c r="T6" s="87" t="s">
        <v>125</v>
      </c>
      <c r="U6" s="87"/>
      <c r="V6" s="87" t="s">
        <v>184</v>
      </c>
      <c r="W6" s="87"/>
      <c r="X6" s="87"/>
      <c r="Y6" s="87"/>
      <c r="Z6" s="91"/>
      <c r="AA6" s="90" t="s">
        <v>12</v>
      </c>
      <c r="AB6" s="95" t="s">
        <v>190</v>
      </c>
      <c r="AC6" s="96"/>
      <c r="AD6" s="96"/>
      <c r="AE6" s="97"/>
      <c r="AF6" s="87"/>
      <c r="AG6" s="4"/>
    </row>
    <row r="7" spans="1:33" ht="55.5" customHeight="1">
      <c r="A7" s="87"/>
      <c r="B7" s="87"/>
      <c r="C7" s="87"/>
      <c r="D7" s="87"/>
      <c r="E7" s="87"/>
      <c r="F7" s="87"/>
      <c r="G7" s="87" t="s">
        <v>7</v>
      </c>
      <c r="H7" s="87" t="s">
        <v>17</v>
      </c>
      <c r="I7" s="87" t="s">
        <v>7</v>
      </c>
      <c r="J7" s="87" t="s">
        <v>17</v>
      </c>
      <c r="K7" s="87"/>
      <c r="L7" s="87"/>
      <c r="M7" s="87"/>
      <c r="N7" s="87"/>
      <c r="O7" s="91"/>
      <c r="P7" s="93" t="s">
        <v>185</v>
      </c>
      <c r="Q7" s="94"/>
      <c r="R7" s="93" t="s">
        <v>186</v>
      </c>
      <c r="S7" s="94"/>
      <c r="T7" s="87"/>
      <c r="U7" s="87"/>
      <c r="V7" s="87"/>
      <c r="W7" s="87"/>
      <c r="X7" s="87"/>
      <c r="Y7" s="87"/>
      <c r="Z7" s="91"/>
      <c r="AA7" s="91"/>
      <c r="AB7" s="93" t="s">
        <v>185</v>
      </c>
      <c r="AC7" s="94"/>
      <c r="AD7" s="93" t="s">
        <v>186</v>
      </c>
      <c r="AE7" s="94"/>
      <c r="AF7" s="87"/>
      <c r="AG7" s="4"/>
    </row>
    <row r="8" spans="1:33" ht="35.25" customHeight="1">
      <c r="A8" s="87"/>
      <c r="B8" s="87"/>
      <c r="C8" s="87"/>
      <c r="D8" s="87"/>
      <c r="E8" s="87"/>
      <c r="F8" s="87"/>
      <c r="G8" s="87"/>
      <c r="H8" s="87"/>
      <c r="I8" s="87"/>
      <c r="J8" s="87" t="s">
        <v>12</v>
      </c>
      <c r="K8" s="87" t="s">
        <v>17</v>
      </c>
      <c r="L8" s="87"/>
      <c r="M8" s="87"/>
      <c r="N8" s="87"/>
      <c r="O8" s="91"/>
      <c r="P8" s="87" t="s">
        <v>7</v>
      </c>
      <c r="Q8" s="87" t="s">
        <v>17</v>
      </c>
      <c r="R8" s="87" t="s">
        <v>7</v>
      </c>
      <c r="S8" s="87" t="s">
        <v>17</v>
      </c>
      <c r="T8" s="87" t="s">
        <v>7</v>
      </c>
      <c r="U8" s="87" t="s">
        <v>17</v>
      </c>
      <c r="V8" s="87" t="s">
        <v>7</v>
      </c>
      <c r="W8" s="87" t="s">
        <v>17</v>
      </c>
      <c r="X8" s="87" t="s">
        <v>7</v>
      </c>
      <c r="Y8" s="87" t="s">
        <v>17</v>
      </c>
      <c r="Z8" s="91"/>
      <c r="AA8" s="91"/>
      <c r="AB8" s="87" t="s">
        <v>7</v>
      </c>
      <c r="AC8" s="87" t="s">
        <v>17</v>
      </c>
      <c r="AD8" s="87" t="s">
        <v>7</v>
      </c>
      <c r="AE8" s="87" t="s">
        <v>17</v>
      </c>
      <c r="AF8" s="87"/>
      <c r="AG8" s="4"/>
    </row>
    <row r="9" spans="1:33" ht="42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6" t="s">
        <v>18</v>
      </c>
      <c r="L9" s="6" t="s">
        <v>19</v>
      </c>
      <c r="M9" s="87"/>
      <c r="N9" s="87"/>
      <c r="O9" s="92"/>
      <c r="P9" s="87"/>
      <c r="Q9" s="87"/>
      <c r="R9" s="87"/>
      <c r="S9" s="87"/>
      <c r="T9" s="87"/>
      <c r="U9" s="87"/>
      <c r="V9" s="87"/>
      <c r="W9" s="87"/>
      <c r="X9" s="87"/>
      <c r="Y9" s="87"/>
      <c r="Z9" s="92"/>
      <c r="AA9" s="92"/>
      <c r="AB9" s="87"/>
      <c r="AC9" s="87"/>
      <c r="AD9" s="87"/>
      <c r="AE9" s="87"/>
      <c r="AF9" s="87"/>
      <c r="AG9" s="4"/>
    </row>
    <row r="10" spans="1:33" ht="29.2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3</v>
      </c>
      <c r="G10" s="18">
        <v>4</v>
      </c>
      <c r="H10" s="18">
        <v>5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6</v>
      </c>
      <c r="P10" s="18">
        <v>7</v>
      </c>
      <c r="Q10" s="18">
        <v>8</v>
      </c>
      <c r="R10" s="18">
        <v>9</v>
      </c>
      <c r="S10" s="18">
        <v>10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11</v>
      </c>
      <c r="AA10" s="18">
        <v>12</v>
      </c>
      <c r="AB10" s="18">
        <v>13</v>
      </c>
      <c r="AC10" s="18">
        <v>14</v>
      </c>
      <c r="AD10" s="18">
        <v>15</v>
      </c>
      <c r="AE10" s="18">
        <v>16</v>
      </c>
      <c r="AF10" s="18">
        <v>17</v>
      </c>
      <c r="AG10" s="19"/>
    </row>
    <row r="11" spans="1:34" s="24" customFormat="1" ht="22.5" customHeight="1">
      <c r="A11" s="7"/>
      <c r="B11" s="7" t="s">
        <v>200</v>
      </c>
      <c r="C11" s="7"/>
      <c r="D11" s="7"/>
      <c r="E11" s="7"/>
      <c r="F11" s="7"/>
      <c r="G11" s="20">
        <f aca="true" t="shared" si="0" ref="G11:AE11">G12+G41+G55</f>
        <v>291175.906495</v>
      </c>
      <c r="H11" s="20">
        <f t="shared" si="0"/>
        <v>275675.496539</v>
      </c>
      <c r="I11" s="20">
        <f t="shared" si="0"/>
        <v>213639.4</v>
      </c>
      <c r="J11" s="20">
        <f t="shared" si="0"/>
        <v>173293.275</v>
      </c>
      <c r="K11" s="20">
        <f t="shared" si="0"/>
        <v>0</v>
      </c>
      <c r="L11" s="20">
        <f t="shared" si="0"/>
        <v>0</v>
      </c>
      <c r="M11" s="20">
        <f t="shared" si="0"/>
        <v>76443.785789</v>
      </c>
      <c r="N11" s="20">
        <f t="shared" si="0"/>
        <v>76443.785789</v>
      </c>
      <c r="O11" s="20">
        <f>O12+O41+O55</f>
        <v>139070.794211</v>
      </c>
      <c r="P11" s="20">
        <f t="shared" si="0"/>
        <v>119044.20000000001</v>
      </c>
      <c r="Q11" s="20">
        <f t="shared" si="0"/>
        <v>107343.20000000001</v>
      </c>
      <c r="R11" s="20">
        <f t="shared" si="0"/>
        <v>20026.594211</v>
      </c>
      <c r="S11" s="20">
        <f t="shared" si="0"/>
        <v>20026.594211</v>
      </c>
      <c r="T11" s="20">
        <f t="shared" si="0"/>
        <v>95508.24087400001</v>
      </c>
      <c r="U11" s="20">
        <f t="shared" si="0"/>
        <v>95508.24087400001</v>
      </c>
      <c r="V11" s="20">
        <f t="shared" si="0"/>
        <v>139520.16561099997</v>
      </c>
      <c r="W11" s="20">
        <f t="shared" si="0"/>
        <v>139520.16561099997</v>
      </c>
      <c r="X11" s="20">
        <f t="shared" si="0"/>
        <v>209280.702</v>
      </c>
      <c r="Y11" s="20">
        <f t="shared" si="0"/>
        <v>209280.702</v>
      </c>
      <c r="Z11" s="20">
        <f>Z12+Z41+Z55</f>
        <v>132131.10000000003</v>
      </c>
      <c r="AA11" s="20">
        <f t="shared" si="0"/>
        <v>132624.89687400003</v>
      </c>
      <c r="AB11" s="20">
        <f t="shared" si="0"/>
        <v>114041.205</v>
      </c>
      <c r="AC11" s="20">
        <f t="shared" si="0"/>
        <v>102339.924</v>
      </c>
      <c r="AD11" s="20">
        <f t="shared" si="0"/>
        <v>18583.691874000004</v>
      </c>
      <c r="AE11" s="20">
        <f t="shared" si="0"/>
        <v>18583.691874000004</v>
      </c>
      <c r="AF11" s="21"/>
      <c r="AG11" s="22">
        <f>AA11*100/O11</f>
        <v>95.36502442977338</v>
      </c>
      <c r="AH11" s="23"/>
    </row>
    <row r="12" spans="1:35" s="24" customFormat="1" ht="40.5" customHeight="1">
      <c r="A12" s="61" t="s">
        <v>9</v>
      </c>
      <c r="B12" s="62" t="s">
        <v>31</v>
      </c>
      <c r="C12" s="63"/>
      <c r="D12" s="63"/>
      <c r="E12" s="63"/>
      <c r="F12" s="63"/>
      <c r="G12" s="20">
        <f>SUM(G14:G40)</f>
        <v>142523.4</v>
      </c>
      <c r="H12" s="20">
        <f aca="true" t="shared" si="1" ref="H12:AE12">SUM(H14:H40)</f>
        <v>131934.275</v>
      </c>
      <c r="I12" s="20">
        <f t="shared" si="1"/>
        <v>125545.4</v>
      </c>
      <c r="J12" s="20">
        <f t="shared" si="1"/>
        <v>102204.275</v>
      </c>
      <c r="K12" s="20">
        <f t="shared" si="1"/>
        <v>0</v>
      </c>
      <c r="L12" s="20">
        <f t="shared" si="1"/>
        <v>0</v>
      </c>
      <c r="M12" s="20">
        <f t="shared" si="1"/>
        <v>26961.248</v>
      </c>
      <c r="N12" s="20">
        <f t="shared" si="1"/>
        <v>26961.248</v>
      </c>
      <c r="O12" s="20">
        <f>SUM(O14:O40)</f>
        <v>70717.132</v>
      </c>
      <c r="P12" s="20">
        <f t="shared" si="1"/>
        <v>65703.20000000001</v>
      </c>
      <c r="Q12" s="20">
        <f t="shared" si="1"/>
        <v>54002.200000000004</v>
      </c>
      <c r="R12" s="20">
        <f t="shared" si="1"/>
        <v>5013.932</v>
      </c>
      <c r="S12" s="20">
        <f t="shared" si="1"/>
        <v>5013.932</v>
      </c>
      <c r="T12" s="20">
        <f t="shared" si="1"/>
        <v>49402.97987400001</v>
      </c>
      <c r="U12" s="20">
        <f t="shared" si="1"/>
        <v>49402.97987400001</v>
      </c>
      <c r="V12" s="20">
        <f t="shared" si="1"/>
        <v>69927.6424</v>
      </c>
      <c r="W12" s="20">
        <f t="shared" si="1"/>
        <v>69927.6424</v>
      </c>
      <c r="X12" s="20">
        <f t="shared" si="1"/>
        <v>92058.155</v>
      </c>
      <c r="Y12" s="20">
        <f t="shared" si="1"/>
        <v>92058.155</v>
      </c>
      <c r="Z12" s="20">
        <f t="shared" si="1"/>
        <v>67650.1</v>
      </c>
      <c r="AA12" s="20">
        <f t="shared" si="1"/>
        <v>67823.437874</v>
      </c>
      <c r="AB12" s="20">
        <f t="shared" si="1"/>
        <v>62825.598000000005</v>
      </c>
      <c r="AC12" s="20">
        <f t="shared" si="1"/>
        <v>51124.317</v>
      </c>
      <c r="AD12" s="20">
        <f t="shared" si="1"/>
        <v>4997.839874</v>
      </c>
      <c r="AE12" s="20">
        <f t="shared" si="1"/>
        <v>4997.839874</v>
      </c>
      <c r="AF12" s="64"/>
      <c r="AG12" s="54"/>
      <c r="AH12" s="65"/>
      <c r="AI12" s="66"/>
    </row>
    <row r="13" spans="1:33" s="24" customFormat="1" ht="27.75" customHeight="1" hidden="1">
      <c r="A13" s="67"/>
      <c r="B13" s="68" t="s">
        <v>167</v>
      </c>
      <c r="C13" s="63"/>
      <c r="D13" s="69"/>
      <c r="E13" s="63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3"/>
    </row>
    <row r="14" spans="1:35" s="77" customFormat="1" ht="30" customHeight="1">
      <c r="A14" s="26">
        <v>1</v>
      </c>
      <c r="B14" s="31" t="s">
        <v>32</v>
      </c>
      <c r="C14" s="32" t="s">
        <v>33</v>
      </c>
      <c r="D14" s="33"/>
      <c r="E14" s="33"/>
      <c r="F14" s="34" t="s">
        <v>86</v>
      </c>
      <c r="G14" s="47">
        <v>7000</v>
      </c>
      <c r="H14" s="47">
        <v>6780</v>
      </c>
      <c r="I14" s="47">
        <f>J14</f>
        <v>5970</v>
      </c>
      <c r="J14" s="47">
        <v>5970</v>
      </c>
      <c r="K14" s="47"/>
      <c r="L14" s="47"/>
      <c r="M14" s="47">
        <f>N14</f>
        <v>5509.18</v>
      </c>
      <c r="N14" s="47">
        <v>5509.18</v>
      </c>
      <c r="O14" s="47">
        <f>P14+R14</f>
        <v>461.2</v>
      </c>
      <c r="P14" s="47">
        <f aca="true" t="shared" si="2" ref="P14:P27">Q14</f>
        <v>461.2</v>
      </c>
      <c r="Q14" s="47">
        <v>461.2</v>
      </c>
      <c r="R14" s="47"/>
      <c r="S14" s="47"/>
      <c r="T14" s="47">
        <f>U14</f>
        <v>401.419</v>
      </c>
      <c r="U14" s="47">
        <v>401.419</v>
      </c>
      <c r="V14" s="47">
        <v>461.2</v>
      </c>
      <c r="W14" s="47">
        <v>461.2</v>
      </c>
      <c r="X14" s="47">
        <f aca="true" t="shared" si="3" ref="X14:X27">Y14</f>
        <v>5970.38</v>
      </c>
      <c r="Y14" s="47">
        <f>N14+Q14</f>
        <v>5970.38</v>
      </c>
      <c r="Z14" s="47">
        <v>404.4</v>
      </c>
      <c r="AA14" s="47">
        <f>AB14+AD14</f>
        <v>404.419</v>
      </c>
      <c r="AB14" s="47">
        <f>AC14</f>
        <v>404.419</v>
      </c>
      <c r="AC14" s="47">
        <v>404.419</v>
      </c>
      <c r="AD14" s="47">
        <f>AE14</f>
        <v>0</v>
      </c>
      <c r="AE14" s="47"/>
      <c r="AF14" s="74"/>
      <c r="AG14" s="75"/>
      <c r="AH14" s="76"/>
      <c r="AI14" s="77">
        <f>Q14-T14</f>
        <v>59.781000000000006</v>
      </c>
    </row>
    <row r="15" spans="1:35" s="77" customFormat="1" ht="66" customHeight="1">
      <c r="A15" s="26">
        <v>2</v>
      </c>
      <c r="B15" s="31" t="s">
        <v>34</v>
      </c>
      <c r="C15" s="32" t="s">
        <v>53</v>
      </c>
      <c r="D15" s="33"/>
      <c r="E15" s="33"/>
      <c r="F15" s="34" t="s">
        <v>54</v>
      </c>
      <c r="G15" s="47">
        <v>14950</v>
      </c>
      <c r="H15" s="47">
        <v>10188</v>
      </c>
      <c r="I15" s="47">
        <v>14477</v>
      </c>
      <c r="J15" s="47">
        <v>9715</v>
      </c>
      <c r="K15" s="47"/>
      <c r="L15" s="47"/>
      <c r="M15" s="47">
        <f>N15</f>
        <v>7500</v>
      </c>
      <c r="N15" s="60">
        <v>7500</v>
      </c>
      <c r="O15" s="47">
        <f>P15+R15</f>
        <v>3480.53</v>
      </c>
      <c r="P15" s="60">
        <f t="shared" si="2"/>
        <v>3480.53</v>
      </c>
      <c r="Q15" s="60">
        <f>3225.53+255</f>
        <v>3480.53</v>
      </c>
      <c r="R15" s="47"/>
      <c r="S15" s="47"/>
      <c r="T15" s="47">
        <f>U15</f>
        <v>2688</v>
      </c>
      <c r="U15" s="47">
        <f>V15</f>
        <v>2688</v>
      </c>
      <c r="V15" s="47">
        <v>2688</v>
      </c>
      <c r="W15" s="47">
        <v>2688</v>
      </c>
      <c r="X15" s="60">
        <f t="shared" si="3"/>
        <v>10980.53</v>
      </c>
      <c r="Y15" s="47">
        <f>N15+Q15</f>
        <v>10980.53</v>
      </c>
      <c r="Z15" s="47">
        <v>3854.4</v>
      </c>
      <c r="AA15" s="47">
        <f>AB15+AD15</f>
        <v>3480.53</v>
      </c>
      <c r="AB15" s="47">
        <f>AC15</f>
        <v>3480.53</v>
      </c>
      <c r="AC15" s="47">
        <v>3480.53</v>
      </c>
      <c r="AD15" s="47"/>
      <c r="AE15" s="47"/>
      <c r="AF15" s="78" t="s">
        <v>207</v>
      </c>
      <c r="AG15" s="75"/>
      <c r="AH15" s="76"/>
      <c r="AI15" s="77">
        <f>Q15-T15</f>
        <v>792.5300000000002</v>
      </c>
    </row>
    <row r="16" spans="1:35" s="77" customFormat="1" ht="30" customHeight="1">
      <c r="A16" s="26">
        <v>3</v>
      </c>
      <c r="B16" s="31" t="s">
        <v>77</v>
      </c>
      <c r="C16" s="32"/>
      <c r="D16" s="33"/>
      <c r="E16" s="33"/>
      <c r="F16" s="34" t="s">
        <v>83</v>
      </c>
      <c r="G16" s="47">
        <v>2823.4</v>
      </c>
      <c r="H16" s="47">
        <v>2823.4</v>
      </c>
      <c r="I16" s="47">
        <v>2823.4</v>
      </c>
      <c r="J16" s="47">
        <v>2823.4</v>
      </c>
      <c r="K16" s="47"/>
      <c r="L16" s="47"/>
      <c r="M16" s="60"/>
      <c r="N16" s="60"/>
      <c r="O16" s="47">
        <f aca="true" t="shared" si="4" ref="O16:O72">P16+R16</f>
        <v>1504.5</v>
      </c>
      <c r="P16" s="60">
        <f t="shared" si="2"/>
        <v>1504.5</v>
      </c>
      <c r="Q16" s="60">
        <v>1504.5</v>
      </c>
      <c r="R16" s="47"/>
      <c r="S16" s="47"/>
      <c r="T16" s="47"/>
      <c r="U16" s="47"/>
      <c r="V16" s="60">
        <v>1504.5</v>
      </c>
      <c r="W16" s="60">
        <v>1504.5</v>
      </c>
      <c r="X16" s="60">
        <f t="shared" si="3"/>
        <v>2377</v>
      </c>
      <c r="Y16" s="60">
        <f>872.5+Q16</f>
        <v>2377</v>
      </c>
      <c r="Z16" s="60">
        <v>1215.9</v>
      </c>
      <c r="AA16" s="47">
        <f aca="true" t="shared" si="5" ref="AA16:AA27">AB16+AD16</f>
        <v>1215.905</v>
      </c>
      <c r="AB16" s="60">
        <f>AC16</f>
        <v>1215.905</v>
      </c>
      <c r="AC16" s="60">
        <v>1215.905</v>
      </c>
      <c r="AD16" s="47"/>
      <c r="AE16" s="47"/>
      <c r="AF16" s="78"/>
      <c r="AG16" s="75"/>
      <c r="AH16" s="76"/>
      <c r="AI16" s="77">
        <f>Q16-T16</f>
        <v>1504.5</v>
      </c>
    </row>
    <row r="17" spans="1:35" s="77" customFormat="1" ht="30" customHeight="1">
      <c r="A17" s="26">
        <v>4</v>
      </c>
      <c r="B17" s="31" t="s">
        <v>93</v>
      </c>
      <c r="C17" s="32"/>
      <c r="D17" s="33"/>
      <c r="E17" s="33"/>
      <c r="F17" s="34" t="s">
        <v>84</v>
      </c>
      <c r="G17" s="47">
        <v>2900</v>
      </c>
      <c r="H17" s="47">
        <v>2900</v>
      </c>
      <c r="I17" s="47">
        <v>2900</v>
      </c>
      <c r="J17" s="47">
        <v>2900</v>
      </c>
      <c r="K17" s="47"/>
      <c r="L17" s="47"/>
      <c r="M17" s="60"/>
      <c r="N17" s="60"/>
      <c r="O17" s="47">
        <f t="shared" si="4"/>
        <v>108.2</v>
      </c>
      <c r="P17" s="60">
        <f t="shared" si="2"/>
        <v>108.2</v>
      </c>
      <c r="Q17" s="60">
        <v>108.2</v>
      </c>
      <c r="R17" s="47"/>
      <c r="S17" s="47"/>
      <c r="T17" s="47">
        <f>U17</f>
        <v>108.179</v>
      </c>
      <c r="U17" s="47">
        <v>108.179</v>
      </c>
      <c r="V17" s="60">
        <v>113</v>
      </c>
      <c r="W17" s="60">
        <v>113</v>
      </c>
      <c r="X17" s="60">
        <f t="shared" si="3"/>
        <v>2606.2</v>
      </c>
      <c r="Y17" s="60">
        <f>2498+Q17</f>
        <v>2606.2</v>
      </c>
      <c r="Z17" s="60"/>
      <c r="AA17" s="47">
        <f t="shared" si="5"/>
        <v>108.179</v>
      </c>
      <c r="AB17" s="60">
        <f>AC17</f>
        <v>108.179</v>
      </c>
      <c r="AC17" s="60">
        <v>108.179</v>
      </c>
      <c r="AD17" s="47"/>
      <c r="AE17" s="47"/>
      <c r="AF17" s="74"/>
      <c r="AG17" s="75"/>
      <c r="AH17" s="76"/>
      <c r="AI17" s="77">
        <f>Q17-T17</f>
        <v>0.021000000000000796</v>
      </c>
    </row>
    <row r="18" spans="1:35" s="77" customFormat="1" ht="30" customHeight="1">
      <c r="A18" s="26">
        <v>5</v>
      </c>
      <c r="B18" s="31" t="s">
        <v>78</v>
      </c>
      <c r="C18" s="32"/>
      <c r="D18" s="33"/>
      <c r="E18" s="33"/>
      <c r="F18" s="34" t="s">
        <v>85</v>
      </c>
      <c r="G18" s="47">
        <v>3870</v>
      </c>
      <c r="H18" s="47">
        <v>3870</v>
      </c>
      <c r="I18" s="47">
        <v>3870</v>
      </c>
      <c r="J18" s="47">
        <v>3870</v>
      </c>
      <c r="K18" s="47"/>
      <c r="L18" s="47"/>
      <c r="M18" s="60"/>
      <c r="N18" s="60"/>
      <c r="O18" s="47">
        <f t="shared" si="4"/>
        <v>51.5</v>
      </c>
      <c r="P18" s="60">
        <f t="shared" si="2"/>
        <v>51.5</v>
      </c>
      <c r="Q18" s="60">
        <v>51.5</v>
      </c>
      <c r="R18" s="47"/>
      <c r="S18" s="47"/>
      <c r="T18" s="47"/>
      <c r="U18" s="47"/>
      <c r="V18" s="60">
        <v>51.5</v>
      </c>
      <c r="W18" s="47">
        <v>51.5</v>
      </c>
      <c r="X18" s="60">
        <f t="shared" si="3"/>
        <v>2617</v>
      </c>
      <c r="Y18" s="60">
        <f>2565.5+Q18</f>
        <v>2617</v>
      </c>
      <c r="Z18" s="60"/>
      <c r="AA18" s="47">
        <f t="shared" si="5"/>
        <v>0</v>
      </c>
      <c r="AB18" s="60"/>
      <c r="AC18" s="60"/>
      <c r="AD18" s="47"/>
      <c r="AE18" s="47"/>
      <c r="AF18" s="78"/>
      <c r="AH18" s="76"/>
      <c r="AI18" s="77">
        <f>Q18-T18</f>
        <v>51.5</v>
      </c>
    </row>
    <row r="19" spans="1:34" s="77" customFormat="1" ht="30" customHeight="1">
      <c r="A19" s="26">
        <v>6</v>
      </c>
      <c r="B19" s="31" t="s">
        <v>138</v>
      </c>
      <c r="C19" s="32"/>
      <c r="D19" s="33"/>
      <c r="E19" s="33"/>
      <c r="F19" s="34" t="s">
        <v>151</v>
      </c>
      <c r="G19" s="47">
        <v>3500</v>
      </c>
      <c r="H19" s="47">
        <v>3500</v>
      </c>
      <c r="I19" s="47"/>
      <c r="J19" s="47"/>
      <c r="K19" s="47"/>
      <c r="L19" s="47"/>
      <c r="M19" s="60">
        <f>N19</f>
        <v>2958.5</v>
      </c>
      <c r="N19" s="60">
        <v>2958.5</v>
      </c>
      <c r="O19" s="47">
        <f t="shared" si="4"/>
        <v>18.5</v>
      </c>
      <c r="P19" s="60">
        <f t="shared" si="2"/>
        <v>0</v>
      </c>
      <c r="Q19" s="60"/>
      <c r="R19" s="47">
        <f>S19</f>
        <v>18.5</v>
      </c>
      <c r="S19" s="47">
        <v>18.5</v>
      </c>
      <c r="T19" s="47">
        <f>U19</f>
        <v>18.549</v>
      </c>
      <c r="U19" s="47">
        <v>18.549</v>
      </c>
      <c r="V19" s="47">
        <v>33.292</v>
      </c>
      <c r="W19" s="47">
        <v>33.292</v>
      </c>
      <c r="X19" s="60">
        <f t="shared" si="3"/>
        <v>2977</v>
      </c>
      <c r="Y19" s="47">
        <f>N19+Q19+R19</f>
        <v>2977</v>
      </c>
      <c r="Z19" s="47"/>
      <c r="AA19" s="47">
        <f t="shared" si="5"/>
        <v>18.549</v>
      </c>
      <c r="AB19" s="47"/>
      <c r="AC19" s="47"/>
      <c r="AD19" s="47">
        <f>AE19</f>
        <v>18.549</v>
      </c>
      <c r="AE19" s="47">
        <v>18.549</v>
      </c>
      <c r="AF19" s="74"/>
      <c r="AG19" s="75"/>
      <c r="AH19" s="76"/>
    </row>
    <row r="20" spans="1:32" s="77" customFormat="1" ht="30" customHeight="1">
      <c r="A20" s="26">
        <v>7</v>
      </c>
      <c r="B20" s="31" t="s">
        <v>55</v>
      </c>
      <c r="C20" s="32" t="s">
        <v>56</v>
      </c>
      <c r="D20" s="33"/>
      <c r="E20" s="33"/>
      <c r="F20" s="34" t="s">
        <v>87</v>
      </c>
      <c r="G20" s="47">
        <v>5700</v>
      </c>
      <c r="H20" s="47">
        <v>5536</v>
      </c>
      <c r="I20" s="47">
        <f>J20</f>
        <v>5150</v>
      </c>
      <c r="J20" s="47">
        <v>5150</v>
      </c>
      <c r="K20" s="47"/>
      <c r="L20" s="47"/>
      <c r="M20" s="47">
        <v>200</v>
      </c>
      <c r="N20" s="47">
        <v>200</v>
      </c>
      <c r="O20" s="47">
        <f t="shared" si="4"/>
        <v>5137</v>
      </c>
      <c r="P20" s="47">
        <f t="shared" si="2"/>
        <v>5137</v>
      </c>
      <c r="Q20" s="47">
        <v>5137</v>
      </c>
      <c r="R20" s="47"/>
      <c r="S20" s="47"/>
      <c r="T20" s="47">
        <f aca="true" t="shared" si="6" ref="T20:T26">U20</f>
        <v>4083.846</v>
      </c>
      <c r="U20" s="47">
        <v>4083.846</v>
      </c>
      <c r="V20" s="47">
        <v>4950</v>
      </c>
      <c r="W20" s="47">
        <v>4950</v>
      </c>
      <c r="X20" s="47">
        <f t="shared" si="3"/>
        <v>5337</v>
      </c>
      <c r="Y20" s="47">
        <f>200+Q20</f>
        <v>5337</v>
      </c>
      <c r="Z20" s="47">
        <v>5005.9</v>
      </c>
      <c r="AA20" s="47">
        <f t="shared" si="5"/>
        <v>5005.913</v>
      </c>
      <c r="AB20" s="47">
        <f>AC20</f>
        <v>5005.913</v>
      </c>
      <c r="AC20" s="47">
        <v>5005.913</v>
      </c>
      <c r="AD20" s="47"/>
      <c r="AE20" s="47"/>
      <c r="AF20" s="78"/>
    </row>
    <row r="21" spans="1:32" s="77" customFormat="1" ht="30" customHeight="1">
      <c r="A21" s="26">
        <v>8</v>
      </c>
      <c r="B21" s="31" t="s">
        <v>28</v>
      </c>
      <c r="C21" s="32" t="s">
        <v>57</v>
      </c>
      <c r="D21" s="33"/>
      <c r="E21" s="33"/>
      <c r="F21" s="34" t="s">
        <v>88</v>
      </c>
      <c r="G21" s="47">
        <v>11500</v>
      </c>
      <c r="H21" s="47">
        <v>10000</v>
      </c>
      <c r="I21" s="47">
        <f>J21</f>
        <v>8786</v>
      </c>
      <c r="J21" s="47">
        <v>8786</v>
      </c>
      <c r="K21" s="47"/>
      <c r="L21" s="47"/>
      <c r="M21" s="47"/>
      <c r="N21" s="47"/>
      <c r="O21" s="47">
        <f t="shared" si="4"/>
        <v>8786</v>
      </c>
      <c r="P21" s="47">
        <f t="shared" si="2"/>
        <v>8586</v>
      </c>
      <c r="Q21" s="47">
        <v>8586</v>
      </c>
      <c r="R21" s="47">
        <f>S21</f>
        <v>200</v>
      </c>
      <c r="S21" s="47">
        <v>200</v>
      </c>
      <c r="T21" s="47">
        <f t="shared" si="6"/>
        <v>8556.44</v>
      </c>
      <c r="U21" s="47">
        <v>8556.44</v>
      </c>
      <c r="V21" s="47">
        <v>8786</v>
      </c>
      <c r="W21" s="47">
        <v>8786</v>
      </c>
      <c r="X21" s="47">
        <f t="shared" si="3"/>
        <v>8786</v>
      </c>
      <c r="Y21" s="47">
        <f>200+Q21</f>
        <v>8786</v>
      </c>
      <c r="Z21" s="47">
        <v>8612.1</v>
      </c>
      <c r="AA21" s="47">
        <f t="shared" si="5"/>
        <v>8612.108</v>
      </c>
      <c r="AB21" s="47">
        <f>AC21</f>
        <v>8412.108</v>
      </c>
      <c r="AC21" s="47">
        <v>8412.108</v>
      </c>
      <c r="AD21" s="47">
        <f>AE21</f>
        <v>200</v>
      </c>
      <c r="AE21" s="47">
        <v>200</v>
      </c>
      <c r="AF21" s="78"/>
    </row>
    <row r="22" spans="1:32" s="77" customFormat="1" ht="56.25" customHeight="1">
      <c r="A22" s="26">
        <v>9</v>
      </c>
      <c r="B22" s="31" t="s">
        <v>58</v>
      </c>
      <c r="C22" s="32" t="s">
        <v>59</v>
      </c>
      <c r="D22" s="33"/>
      <c r="E22" s="33"/>
      <c r="F22" s="34" t="s">
        <v>89</v>
      </c>
      <c r="G22" s="47">
        <v>14100</v>
      </c>
      <c r="H22" s="47">
        <v>14000</v>
      </c>
      <c r="I22" s="47">
        <f>J22</f>
        <v>13970</v>
      </c>
      <c r="J22" s="47">
        <v>13970</v>
      </c>
      <c r="K22" s="47"/>
      <c r="L22" s="47"/>
      <c r="M22" s="47"/>
      <c r="N22" s="47"/>
      <c r="O22" s="47">
        <f t="shared" si="4"/>
        <v>13970</v>
      </c>
      <c r="P22" s="47">
        <v>13770</v>
      </c>
      <c r="Q22" s="47">
        <v>2069</v>
      </c>
      <c r="R22" s="47">
        <f>S22</f>
        <v>200</v>
      </c>
      <c r="S22" s="47">
        <v>200</v>
      </c>
      <c r="T22" s="47">
        <f t="shared" si="6"/>
        <v>8460.934000000001</v>
      </c>
      <c r="U22" s="47">
        <f>517.071+7743.863+200</f>
        <v>8460.934000000001</v>
      </c>
      <c r="V22" s="47">
        <v>13970</v>
      </c>
      <c r="W22" s="47">
        <v>13970</v>
      </c>
      <c r="X22" s="47">
        <f>Y22</f>
        <v>2269</v>
      </c>
      <c r="Y22" s="47">
        <f>200+Q22</f>
        <v>2269</v>
      </c>
      <c r="Z22" s="47">
        <v>13723.9</v>
      </c>
      <c r="AA22" s="47">
        <f t="shared" si="5"/>
        <v>13723.911</v>
      </c>
      <c r="AB22" s="47">
        <v>13523.911</v>
      </c>
      <c r="AC22" s="47">
        <v>1822.63</v>
      </c>
      <c r="AD22" s="47">
        <f>AE22</f>
        <v>200</v>
      </c>
      <c r="AE22" s="47">
        <v>200</v>
      </c>
      <c r="AF22" s="78" t="s">
        <v>206</v>
      </c>
    </row>
    <row r="23" spans="1:33" s="77" customFormat="1" ht="30.75" customHeight="1">
      <c r="A23" s="26">
        <v>10</v>
      </c>
      <c r="B23" s="31" t="s">
        <v>64</v>
      </c>
      <c r="C23" s="32"/>
      <c r="D23" s="33"/>
      <c r="E23" s="33"/>
      <c r="F23" s="34" t="s">
        <v>90</v>
      </c>
      <c r="G23" s="47">
        <v>9000</v>
      </c>
      <c r="H23" s="47">
        <v>5838</v>
      </c>
      <c r="I23" s="47">
        <f>J23</f>
        <v>5675</v>
      </c>
      <c r="J23" s="47">
        <v>5675</v>
      </c>
      <c r="K23" s="47"/>
      <c r="L23" s="47"/>
      <c r="M23" s="47"/>
      <c r="N23" s="47"/>
      <c r="O23" s="47">
        <f t="shared" si="4"/>
        <v>5675</v>
      </c>
      <c r="P23" s="47">
        <f t="shared" si="2"/>
        <v>5675</v>
      </c>
      <c r="Q23" s="47">
        <v>5675</v>
      </c>
      <c r="R23" s="47"/>
      <c r="S23" s="47"/>
      <c r="T23" s="47">
        <f t="shared" si="6"/>
        <v>1471.859</v>
      </c>
      <c r="U23" s="47">
        <v>1471.859</v>
      </c>
      <c r="V23" s="47">
        <v>5675</v>
      </c>
      <c r="W23" s="47">
        <v>5675</v>
      </c>
      <c r="X23" s="47">
        <f t="shared" si="3"/>
        <v>5675</v>
      </c>
      <c r="Y23" s="47">
        <f>W23</f>
        <v>5675</v>
      </c>
      <c r="Z23" s="47">
        <v>5335.8</v>
      </c>
      <c r="AA23" s="47">
        <f t="shared" si="5"/>
        <v>5335.834</v>
      </c>
      <c r="AB23" s="47">
        <f>AC23</f>
        <v>5335.834</v>
      </c>
      <c r="AC23" s="47">
        <v>5335.834</v>
      </c>
      <c r="AD23" s="47"/>
      <c r="AE23" s="47"/>
      <c r="AF23" s="25" t="s">
        <v>192</v>
      </c>
      <c r="AG23" s="79"/>
    </row>
    <row r="24" spans="1:32" s="77" customFormat="1" ht="30.75" customHeight="1">
      <c r="A24" s="26">
        <v>11</v>
      </c>
      <c r="B24" s="31" t="s">
        <v>29</v>
      </c>
      <c r="C24" s="32" t="s">
        <v>60</v>
      </c>
      <c r="D24" s="33"/>
      <c r="E24" s="33"/>
      <c r="F24" s="34" t="s">
        <v>91</v>
      </c>
      <c r="G24" s="47">
        <v>6000</v>
      </c>
      <c r="H24" s="47">
        <v>5500</v>
      </c>
      <c r="I24" s="47">
        <f>J24</f>
        <v>5498</v>
      </c>
      <c r="J24" s="47">
        <v>5498</v>
      </c>
      <c r="K24" s="47"/>
      <c r="L24" s="47"/>
      <c r="M24" s="47"/>
      <c r="N24" s="47"/>
      <c r="O24" s="47">
        <f t="shared" si="4"/>
        <v>5498</v>
      </c>
      <c r="P24" s="47">
        <f t="shared" si="2"/>
        <v>5398</v>
      </c>
      <c r="Q24" s="47">
        <v>5398</v>
      </c>
      <c r="R24" s="47">
        <v>100</v>
      </c>
      <c r="S24" s="47">
        <v>100</v>
      </c>
      <c r="T24" s="47">
        <f t="shared" si="6"/>
        <v>3900.309</v>
      </c>
      <c r="U24" s="47">
        <v>3900.309</v>
      </c>
      <c r="V24" s="47">
        <v>5498</v>
      </c>
      <c r="W24" s="47">
        <v>5498</v>
      </c>
      <c r="X24" s="47">
        <f t="shared" si="3"/>
        <v>5498</v>
      </c>
      <c r="Y24" s="47">
        <f>J24</f>
        <v>5498</v>
      </c>
      <c r="Z24" s="47">
        <v>5235.1</v>
      </c>
      <c r="AA24" s="47">
        <f t="shared" si="5"/>
        <v>5235.108</v>
      </c>
      <c r="AB24" s="47">
        <f>AC24</f>
        <v>5135.108</v>
      </c>
      <c r="AC24" s="47">
        <v>5135.108</v>
      </c>
      <c r="AD24" s="47">
        <f>AE24</f>
        <v>100</v>
      </c>
      <c r="AE24" s="47">
        <v>100</v>
      </c>
      <c r="AF24" s="78"/>
    </row>
    <row r="25" spans="1:32" s="77" customFormat="1" ht="48" customHeight="1">
      <c r="A25" s="26">
        <v>12</v>
      </c>
      <c r="B25" s="31" t="s">
        <v>63</v>
      </c>
      <c r="C25" s="32" t="s">
        <v>42</v>
      </c>
      <c r="D25" s="33"/>
      <c r="E25" s="33"/>
      <c r="F25" s="34" t="s">
        <v>92</v>
      </c>
      <c r="G25" s="47">
        <v>9500</v>
      </c>
      <c r="H25" s="47">
        <v>9318.875</v>
      </c>
      <c r="I25" s="47">
        <v>9500</v>
      </c>
      <c r="J25" s="47">
        <v>9318.875</v>
      </c>
      <c r="K25" s="47"/>
      <c r="L25" s="47"/>
      <c r="M25" s="47"/>
      <c r="N25" s="47"/>
      <c r="O25" s="47">
        <f t="shared" si="4"/>
        <v>9319</v>
      </c>
      <c r="P25" s="47">
        <f t="shared" si="2"/>
        <v>9219</v>
      </c>
      <c r="Q25" s="47">
        <v>9219</v>
      </c>
      <c r="R25" s="47">
        <v>100</v>
      </c>
      <c r="S25" s="47">
        <v>100</v>
      </c>
      <c r="T25" s="47">
        <f t="shared" si="6"/>
        <v>5400.645</v>
      </c>
      <c r="U25" s="47">
        <v>5400.645</v>
      </c>
      <c r="V25" s="47">
        <v>9319</v>
      </c>
      <c r="W25" s="47">
        <v>9319</v>
      </c>
      <c r="X25" s="47">
        <f t="shared" si="3"/>
        <v>9318.875</v>
      </c>
      <c r="Y25" s="47">
        <f>J25</f>
        <v>9318.875</v>
      </c>
      <c r="Z25" s="47">
        <v>9090.4</v>
      </c>
      <c r="AA25" s="47">
        <f t="shared" si="5"/>
        <v>9090.411</v>
      </c>
      <c r="AB25" s="47">
        <f>AC25</f>
        <v>8990.411</v>
      </c>
      <c r="AC25" s="47">
        <v>8990.411</v>
      </c>
      <c r="AD25" s="47">
        <f>AE25</f>
        <v>100</v>
      </c>
      <c r="AE25" s="47">
        <v>100</v>
      </c>
      <c r="AF25" s="78"/>
    </row>
    <row r="26" spans="1:32" s="77" customFormat="1" ht="38.25" customHeight="1">
      <c r="A26" s="26">
        <v>13</v>
      </c>
      <c r="B26" s="31" t="s">
        <v>79</v>
      </c>
      <c r="C26" s="32"/>
      <c r="D26" s="33"/>
      <c r="E26" s="33"/>
      <c r="F26" s="34" t="s">
        <v>81</v>
      </c>
      <c r="G26" s="47">
        <v>19000</v>
      </c>
      <c r="H26" s="47">
        <v>19000</v>
      </c>
      <c r="I26" s="47">
        <v>16954</v>
      </c>
      <c r="J26" s="47">
        <v>2576</v>
      </c>
      <c r="K26" s="47"/>
      <c r="L26" s="47"/>
      <c r="M26" s="47"/>
      <c r="N26" s="47"/>
      <c r="O26" s="47">
        <f t="shared" si="4"/>
        <v>2576</v>
      </c>
      <c r="P26" s="47">
        <f t="shared" si="2"/>
        <v>2576</v>
      </c>
      <c r="Q26" s="47">
        <f>J26</f>
        <v>2576</v>
      </c>
      <c r="R26" s="47"/>
      <c r="S26" s="47"/>
      <c r="T26" s="47">
        <f t="shared" si="6"/>
        <v>2576</v>
      </c>
      <c r="U26" s="47">
        <v>2576</v>
      </c>
      <c r="V26" s="47">
        <v>2576</v>
      </c>
      <c r="W26" s="47">
        <v>2576</v>
      </c>
      <c r="X26" s="47">
        <f t="shared" si="3"/>
        <v>2576</v>
      </c>
      <c r="Y26" s="47">
        <f>W26</f>
        <v>2576</v>
      </c>
      <c r="Z26" s="47">
        <v>2576</v>
      </c>
      <c r="AA26" s="47">
        <f t="shared" si="5"/>
        <v>2576</v>
      </c>
      <c r="AB26" s="47">
        <f>AC26</f>
        <v>2576</v>
      </c>
      <c r="AC26" s="47">
        <v>2576</v>
      </c>
      <c r="AD26" s="47"/>
      <c r="AE26" s="47"/>
      <c r="AF26" s="78" t="s">
        <v>196</v>
      </c>
    </row>
    <row r="27" spans="1:34" s="77" customFormat="1" ht="38.25" customHeight="1">
      <c r="A27" s="26">
        <v>14</v>
      </c>
      <c r="B27" s="31" t="s">
        <v>80</v>
      </c>
      <c r="C27" s="32"/>
      <c r="D27" s="33"/>
      <c r="E27" s="33"/>
      <c r="F27" s="34" t="s">
        <v>82</v>
      </c>
      <c r="G27" s="47">
        <v>8000</v>
      </c>
      <c r="H27" s="47">
        <v>8000</v>
      </c>
      <c r="I27" s="47">
        <v>6686</v>
      </c>
      <c r="J27" s="47">
        <v>2666</v>
      </c>
      <c r="K27" s="47"/>
      <c r="L27" s="47"/>
      <c r="M27" s="47"/>
      <c r="N27" s="47"/>
      <c r="O27" s="47">
        <v>2472</v>
      </c>
      <c r="P27" s="47">
        <f t="shared" si="2"/>
        <v>1383</v>
      </c>
      <c r="Q27" s="47">
        <f>1577-194</f>
        <v>1383</v>
      </c>
      <c r="R27" s="47">
        <f>S27</f>
        <v>1089</v>
      </c>
      <c r="S27" s="47">
        <v>1089</v>
      </c>
      <c r="T27" s="47">
        <f>U27</f>
        <v>1660.829</v>
      </c>
      <c r="U27" s="47">
        <v>1660.829</v>
      </c>
      <c r="V27" s="47">
        <v>2666</v>
      </c>
      <c r="W27" s="47">
        <v>2666</v>
      </c>
      <c r="X27" s="47">
        <f t="shared" si="3"/>
        <v>2472</v>
      </c>
      <c r="Y27" s="47">
        <f>Q27+R27</f>
        <v>2472</v>
      </c>
      <c r="Z27" s="47">
        <v>2428.6</v>
      </c>
      <c r="AA27" s="47">
        <f t="shared" si="5"/>
        <v>2428.5860000000002</v>
      </c>
      <c r="AB27" s="47">
        <f>AC27</f>
        <v>1339.586</v>
      </c>
      <c r="AC27" s="47">
        <v>1339.586</v>
      </c>
      <c r="AD27" s="47">
        <f>AE27</f>
        <v>1089</v>
      </c>
      <c r="AE27" s="47">
        <v>1089</v>
      </c>
      <c r="AF27" s="74"/>
      <c r="AH27" s="76"/>
    </row>
    <row r="28" spans="1:34" s="77" customFormat="1" ht="31.5" customHeight="1" hidden="1">
      <c r="A28" s="26"/>
      <c r="B28" s="64" t="s">
        <v>168</v>
      </c>
      <c r="C28" s="32"/>
      <c r="D28" s="33"/>
      <c r="E28" s="33"/>
      <c r="F28" s="34"/>
      <c r="G28" s="47"/>
      <c r="H28" s="47"/>
      <c r="I28" s="47"/>
      <c r="J28" s="47"/>
      <c r="K28" s="47"/>
      <c r="L28" s="47"/>
      <c r="M28" s="47"/>
      <c r="N28" s="47"/>
      <c r="O28" s="47">
        <f t="shared" si="4"/>
        <v>0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78"/>
      <c r="AH28" s="76"/>
    </row>
    <row r="29" spans="1:33" s="77" customFormat="1" ht="30" customHeight="1">
      <c r="A29" s="26">
        <v>15</v>
      </c>
      <c r="B29" s="31" t="s">
        <v>27</v>
      </c>
      <c r="C29" s="32" t="s">
        <v>42</v>
      </c>
      <c r="D29" s="33"/>
      <c r="E29" s="33"/>
      <c r="F29" s="34" t="s">
        <v>94</v>
      </c>
      <c r="G29" s="47">
        <v>2000</v>
      </c>
      <c r="H29" s="47">
        <v>2000</v>
      </c>
      <c r="I29" s="47">
        <v>1967</v>
      </c>
      <c r="J29" s="47">
        <v>1967</v>
      </c>
      <c r="K29" s="47"/>
      <c r="L29" s="47"/>
      <c r="M29" s="47">
        <f>N29</f>
        <v>1125.625</v>
      </c>
      <c r="N29" s="47">
        <f>1200-S29</f>
        <v>1125.625</v>
      </c>
      <c r="O29" s="47">
        <f t="shared" si="4"/>
        <v>735.845</v>
      </c>
      <c r="P29" s="47">
        <f aca="true" t="shared" si="7" ref="P29:P40">Q29</f>
        <v>661.47</v>
      </c>
      <c r="Q29" s="47">
        <v>661.47</v>
      </c>
      <c r="R29" s="47">
        <f>S29</f>
        <v>74.375</v>
      </c>
      <c r="S29" s="47">
        <v>74.375</v>
      </c>
      <c r="T29" s="47">
        <f>U29</f>
        <v>667.306</v>
      </c>
      <c r="U29" s="47">
        <f>S29+592.931</f>
        <v>667.306</v>
      </c>
      <c r="V29" s="47">
        <f>W29</f>
        <v>735.845</v>
      </c>
      <c r="W29" s="47">
        <f>Q29+S29</f>
        <v>735.845</v>
      </c>
      <c r="X29" s="47">
        <f>Y29</f>
        <v>1861.47</v>
      </c>
      <c r="Y29" s="47">
        <f>N29+Q29+S29</f>
        <v>1861.47</v>
      </c>
      <c r="Z29" s="47"/>
      <c r="AA29" s="47">
        <f>+AB29+AD29</f>
        <v>667.307</v>
      </c>
      <c r="AB29" s="47">
        <f>AC29</f>
        <v>592.932</v>
      </c>
      <c r="AC29" s="47">
        <f>667.307-AE29</f>
        <v>592.932</v>
      </c>
      <c r="AD29" s="47">
        <f>AE29</f>
        <v>74.375</v>
      </c>
      <c r="AE29" s="47">
        <f>S29</f>
        <v>74.375</v>
      </c>
      <c r="AF29" s="74" t="s">
        <v>74</v>
      </c>
      <c r="AG29" s="85"/>
    </row>
    <row r="30" spans="1:33" s="77" customFormat="1" ht="30" customHeight="1">
      <c r="A30" s="26">
        <v>16</v>
      </c>
      <c r="B30" s="31" t="s">
        <v>30</v>
      </c>
      <c r="C30" s="32" t="s">
        <v>61</v>
      </c>
      <c r="D30" s="33"/>
      <c r="E30" s="33"/>
      <c r="F30" s="34" t="s">
        <v>95</v>
      </c>
      <c r="G30" s="47">
        <v>2050</v>
      </c>
      <c r="H30" s="47">
        <v>2050</v>
      </c>
      <c r="I30" s="47">
        <v>2050</v>
      </c>
      <c r="J30" s="47">
        <v>2050</v>
      </c>
      <c r="K30" s="47"/>
      <c r="L30" s="47"/>
      <c r="M30" s="47"/>
      <c r="N30" s="47"/>
      <c r="O30" s="47">
        <f t="shared" si="4"/>
        <v>1990</v>
      </c>
      <c r="P30" s="47">
        <f t="shared" si="7"/>
        <v>1940</v>
      </c>
      <c r="Q30" s="47">
        <v>1940</v>
      </c>
      <c r="R30" s="47">
        <f aca="true" t="shared" si="8" ref="R30:R40">S30</f>
        <v>50</v>
      </c>
      <c r="S30" s="47">
        <v>50</v>
      </c>
      <c r="T30" s="47">
        <f aca="true" t="shared" si="9" ref="T30:T40">U30</f>
        <v>1850.802</v>
      </c>
      <c r="U30" s="47">
        <f>50+1800.802</f>
        <v>1850.802</v>
      </c>
      <c r="V30" s="47">
        <f aca="true" t="shared" si="10" ref="V30:V40">W30</f>
        <v>1990</v>
      </c>
      <c r="W30" s="47">
        <f aca="true" t="shared" si="11" ref="W30:W35">Q30+S30</f>
        <v>1990</v>
      </c>
      <c r="X30" s="47">
        <f aca="true" t="shared" si="12" ref="X30:X40">Y30</f>
        <v>1990</v>
      </c>
      <c r="Y30" s="47">
        <f>N30+Q30+S30</f>
        <v>1990</v>
      </c>
      <c r="Z30" s="47">
        <v>1617.3</v>
      </c>
      <c r="AA30" s="47">
        <f aca="true" t="shared" si="13" ref="AA30:AA72">+AB30+AD30</f>
        <v>1919.251</v>
      </c>
      <c r="AB30" s="47">
        <f aca="true" t="shared" si="14" ref="AB30:AB72">AC30</f>
        <v>1869.251</v>
      </c>
      <c r="AC30" s="47">
        <f>1919.251-50</f>
        <v>1869.251</v>
      </c>
      <c r="AD30" s="47">
        <f aca="true" t="shared" si="15" ref="AD30:AD72">AE30</f>
        <v>50</v>
      </c>
      <c r="AE30" s="47">
        <v>50</v>
      </c>
      <c r="AF30" s="74" t="s">
        <v>65</v>
      </c>
      <c r="AG30" s="85"/>
    </row>
    <row r="31" spans="1:33" s="77" customFormat="1" ht="30" customHeight="1">
      <c r="A31" s="26">
        <v>17</v>
      </c>
      <c r="B31" s="31" t="s">
        <v>62</v>
      </c>
      <c r="C31" s="32" t="s">
        <v>61</v>
      </c>
      <c r="D31" s="33"/>
      <c r="E31" s="33"/>
      <c r="F31" s="34" t="s">
        <v>96</v>
      </c>
      <c r="G31" s="47">
        <v>2250</v>
      </c>
      <c r="H31" s="47">
        <v>2250</v>
      </c>
      <c r="I31" s="47">
        <v>2250</v>
      </c>
      <c r="J31" s="47">
        <v>2250</v>
      </c>
      <c r="K31" s="47"/>
      <c r="L31" s="47"/>
      <c r="M31" s="47"/>
      <c r="N31" s="47"/>
      <c r="O31" s="47">
        <f t="shared" si="4"/>
        <v>2179</v>
      </c>
      <c r="P31" s="47">
        <f t="shared" si="7"/>
        <v>2129</v>
      </c>
      <c r="Q31" s="47">
        <f>2150-21</f>
        <v>2129</v>
      </c>
      <c r="R31" s="47">
        <f t="shared" si="8"/>
        <v>50</v>
      </c>
      <c r="S31" s="47">
        <v>50</v>
      </c>
      <c r="T31" s="47">
        <f t="shared" si="9"/>
        <v>2027.76</v>
      </c>
      <c r="U31" s="47">
        <f>50+1977.76</f>
        <v>2027.76</v>
      </c>
      <c r="V31" s="47">
        <f t="shared" si="10"/>
        <v>2179</v>
      </c>
      <c r="W31" s="47">
        <f t="shared" si="11"/>
        <v>2179</v>
      </c>
      <c r="X31" s="47">
        <f t="shared" si="12"/>
        <v>2179</v>
      </c>
      <c r="Y31" s="47">
        <f>N31+Q31+S31</f>
        <v>2179</v>
      </c>
      <c r="Z31" s="47">
        <v>1818</v>
      </c>
      <c r="AA31" s="47">
        <f t="shared" si="13"/>
        <v>2103.486</v>
      </c>
      <c r="AB31" s="47">
        <f t="shared" si="14"/>
        <v>2053.486</v>
      </c>
      <c r="AC31" s="47">
        <f>2103.486-50</f>
        <v>2053.486</v>
      </c>
      <c r="AD31" s="47">
        <f t="shared" si="15"/>
        <v>50</v>
      </c>
      <c r="AE31" s="47">
        <v>50</v>
      </c>
      <c r="AF31" s="74" t="s">
        <v>65</v>
      </c>
      <c r="AG31" s="85"/>
    </row>
    <row r="32" spans="1:35" s="77" customFormat="1" ht="30" customHeight="1">
      <c r="A32" s="26">
        <v>18</v>
      </c>
      <c r="B32" s="31" t="s">
        <v>22</v>
      </c>
      <c r="C32" s="32" t="s">
        <v>51</v>
      </c>
      <c r="D32" s="33"/>
      <c r="E32" s="33"/>
      <c r="F32" s="34" t="s">
        <v>97</v>
      </c>
      <c r="G32" s="47">
        <v>2050</v>
      </c>
      <c r="H32" s="47">
        <v>2050</v>
      </c>
      <c r="I32" s="47">
        <v>2050</v>
      </c>
      <c r="J32" s="47">
        <v>2050</v>
      </c>
      <c r="K32" s="47"/>
      <c r="L32" s="47"/>
      <c r="M32" s="47">
        <f aca="true" t="shared" si="16" ref="M32:M40">N32</f>
        <v>1700</v>
      </c>
      <c r="N32" s="47">
        <v>1700</v>
      </c>
      <c r="O32" s="47">
        <f t="shared" si="4"/>
        <v>259.3</v>
      </c>
      <c r="P32" s="47">
        <f t="shared" si="7"/>
        <v>259.3</v>
      </c>
      <c r="Q32" s="47">
        <v>259.3</v>
      </c>
      <c r="R32" s="47">
        <f t="shared" si="8"/>
        <v>0</v>
      </c>
      <c r="S32" s="47"/>
      <c r="T32" s="47">
        <f t="shared" si="9"/>
        <v>247.143</v>
      </c>
      <c r="U32" s="47">
        <v>247.143</v>
      </c>
      <c r="V32" s="47">
        <f t="shared" si="10"/>
        <v>259.3</v>
      </c>
      <c r="W32" s="47">
        <f t="shared" si="11"/>
        <v>259.3</v>
      </c>
      <c r="X32" s="47">
        <f t="shared" si="12"/>
        <v>1959.3</v>
      </c>
      <c r="Y32" s="47">
        <f>N32+Q32+S32</f>
        <v>1959.3</v>
      </c>
      <c r="Z32" s="47">
        <v>250</v>
      </c>
      <c r="AA32" s="47">
        <f t="shared" si="13"/>
        <v>258.826</v>
      </c>
      <c r="AB32" s="47">
        <f t="shared" si="14"/>
        <v>258.826</v>
      </c>
      <c r="AC32" s="47">
        <v>258.826</v>
      </c>
      <c r="AD32" s="47">
        <f t="shared" si="15"/>
        <v>0</v>
      </c>
      <c r="AE32" s="47"/>
      <c r="AF32" s="74" t="s">
        <v>52</v>
      </c>
      <c r="AG32" s="85"/>
      <c r="AI32" s="77">
        <v>20092000</v>
      </c>
    </row>
    <row r="33" spans="1:35" s="77" customFormat="1" ht="30" customHeight="1">
      <c r="A33" s="26">
        <v>19</v>
      </c>
      <c r="B33" s="31" t="s">
        <v>35</v>
      </c>
      <c r="C33" s="32" t="s">
        <v>39</v>
      </c>
      <c r="D33" s="33"/>
      <c r="E33" s="33"/>
      <c r="F33" s="34" t="s">
        <v>98</v>
      </c>
      <c r="G33" s="47">
        <v>1150</v>
      </c>
      <c r="H33" s="47">
        <v>1150</v>
      </c>
      <c r="I33" s="47">
        <v>1150</v>
      </c>
      <c r="J33" s="47">
        <v>1150</v>
      </c>
      <c r="K33" s="47"/>
      <c r="L33" s="47"/>
      <c r="M33" s="47">
        <f t="shared" si="16"/>
        <v>1000</v>
      </c>
      <c r="N33" s="47">
        <v>1000</v>
      </c>
      <c r="O33" s="47">
        <f t="shared" si="4"/>
        <v>85</v>
      </c>
      <c r="P33" s="47">
        <f t="shared" si="7"/>
        <v>85</v>
      </c>
      <c r="Q33" s="47">
        <v>85</v>
      </c>
      <c r="R33" s="47">
        <f t="shared" si="8"/>
        <v>0</v>
      </c>
      <c r="S33" s="47"/>
      <c r="T33" s="47">
        <f t="shared" si="9"/>
        <v>21.817</v>
      </c>
      <c r="U33" s="47">
        <v>21.817</v>
      </c>
      <c r="V33" s="47">
        <f t="shared" si="10"/>
        <v>85</v>
      </c>
      <c r="W33" s="47">
        <f t="shared" si="11"/>
        <v>85</v>
      </c>
      <c r="X33" s="47">
        <f t="shared" si="12"/>
        <v>1149.9</v>
      </c>
      <c r="Y33" s="47">
        <f>64.9+N33+Q33</f>
        <v>1149.9</v>
      </c>
      <c r="Z33" s="47">
        <v>108.4</v>
      </c>
      <c r="AA33" s="47">
        <f t="shared" si="13"/>
        <v>63.478</v>
      </c>
      <c r="AB33" s="47">
        <f t="shared" si="14"/>
        <v>63.478</v>
      </c>
      <c r="AC33" s="47">
        <v>63.478</v>
      </c>
      <c r="AD33" s="47">
        <f t="shared" si="15"/>
        <v>0</v>
      </c>
      <c r="AE33" s="47"/>
      <c r="AF33" s="74" t="s">
        <v>43</v>
      </c>
      <c r="AG33" s="85"/>
      <c r="AH33" s="85"/>
      <c r="AI33" s="85">
        <v>956834000</v>
      </c>
    </row>
    <row r="34" spans="1:35" s="77" customFormat="1" ht="30" customHeight="1">
      <c r="A34" s="26">
        <v>20</v>
      </c>
      <c r="B34" s="31" t="s">
        <v>23</v>
      </c>
      <c r="C34" s="32" t="s">
        <v>39</v>
      </c>
      <c r="D34" s="33"/>
      <c r="E34" s="33"/>
      <c r="F34" s="34" t="s">
        <v>99</v>
      </c>
      <c r="G34" s="47">
        <v>1400</v>
      </c>
      <c r="H34" s="47">
        <v>1400</v>
      </c>
      <c r="I34" s="47">
        <v>1085</v>
      </c>
      <c r="J34" s="47">
        <v>1085</v>
      </c>
      <c r="K34" s="47"/>
      <c r="L34" s="47"/>
      <c r="M34" s="47">
        <f t="shared" si="16"/>
        <v>900</v>
      </c>
      <c r="N34" s="47">
        <v>900</v>
      </c>
      <c r="O34" s="47">
        <f t="shared" si="4"/>
        <v>184</v>
      </c>
      <c r="P34" s="47">
        <f t="shared" si="7"/>
        <v>184</v>
      </c>
      <c r="Q34" s="47">
        <v>184</v>
      </c>
      <c r="R34" s="47">
        <f t="shared" si="8"/>
        <v>0</v>
      </c>
      <c r="S34" s="47"/>
      <c r="T34" s="47">
        <f t="shared" si="9"/>
        <v>118.805</v>
      </c>
      <c r="U34" s="47">
        <v>118.805</v>
      </c>
      <c r="V34" s="47">
        <f t="shared" si="10"/>
        <v>160.4484</v>
      </c>
      <c r="W34" s="47">
        <v>160.4484</v>
      </c>
      <c r="X34" s="47">
        <f t="shared" si="12"/>
        <v>1084</v>
      </c>
      <c r="Y34" s="47">
        <f>N34+Q34</f>
        <v>1084</v>
      </c>
      <c r="Z34" s="47"/>
      <c r="AA34" s="47">
        <f t="shared" si="13"/>
        <v>153.43</v>
      </c>
      <c r="AB34" s="47">
        <f t="shared" si="14"/>
        <v>153.43</v>
      </c>
      <c r="AC34" s="47">
        <v>153.43</v>
      </c>
      <c r="AD34" s="47">
        <f t="shared" si="15"/>
        <v>0</v>
      </c>
      <c r="AE34" s="47"/>
      <c r="AF34" s="74" t="s">
        <v>43</v>
      </c>
      <c r="AG34" s="75"/>
      <c r="AH34" s="81"/>
      <c r="AI34" s="85">
        <v>26815000</v>
      </c>
    </row>
    <row r="35" spans="1:36" s="77" customFormat="1" ht="30" customHeight="1">
      <c r="A35" s="26">
        <v>21</v>
      </c>
      <c r="B35" s="31" t="s">
        <v>36</v>
      </c>
      <c r="C35" s="32" t="s">
        <v>44</v>
      </c>
      <c r="D35" s="33"/>
      <c r="E35" s="33"/>
      <c r="F35" s="34" t="s">
        <v>100</v>
      </c>
      <c r="G35" s="47">
        <v>3430</v>
      </c>
      <c r="H35" s="47">
        <v>3430</v>
      </c>
      <c r="I35" s="47">
        <f>J35</f>
        <v>2873</v>
      </c>
      <c r="J35" s="47">
        <v>2873</v>
      </c>
      <c r="K35" s="47"/>
      <c r="L35" s="47"/>
      <c r="M35" s="47">
        <f t="shared" si="16"/>
        <v>2399.037</v>
      </c>
      <c r="N35" s="47">
        <f>2700-S35</f>
        <v>2399.037</v>
      </c>
      <c r="O35" s="47">
        <f t="shared" si="4"/>
        <v>300.963</v>
      </c>
      <c r="P35" s="47">
        <f t="shared" si="7"/>
        <v>0</v>
      </c>
      <c r="Q35" s="47">
        <v>0</v>
      </c>
      <c r="R35" s="47">
        <f t="shared" si="8"/>
        <v>300.963</v>
      </c>
      <c r="S35" s="47">
        <v>300.963</v>
      </c>
      <c r="T35" s="47">
        <f t="shared" si="9"/>
        <v>218.821874</v>
      </c>
      <c r="U35" s="47">
        <v>218.821874</v>
      </c>
      <c r="V35" s="47">
        <f t="shared" si="10"/>
        <v>300.963</v>
      </c>
      <c r="W35" s="47">
        <f t="shared" si="11"/>
        <v>300.963</v>
      </c>
      <c r="X35" s="47">
        <f t="shared" si="12"/>
        <v>2780</v>
      </c>
      <c r="Y35" s="47">
        <f>80+N35+Q35+S35</f>
        <v>2780</v>
      </c>
      <c r="Z35" s="47">
        <v>250</v>
      </c>
      <c r="AA35" s="47">
        <f t="shared" si="13"/>
        <v>284.821874</v>
      </c>
      <c r="AB35" s="47">
        <f t="shared" si="14"/>
        <v>0</v>
      </c>
      <c r="AC35" s="47"/>
      <c r="AD35" s="47">
        <f t="shared" si="15"/>
        <v>284.821874</v>
      </c>
      <c r="AE35" s="47">
        <v>284.821874</v>
      </c>
      <c r="AF35" s="74" t="s">
        <v>45</v>
      </c>
      <c r="AG35" s="106"/>
      <c r="AH35" s="85"/>
      <c r="AI35" s="85">
        <v>8650000</v>
      </c>
      <c r="AJ35" s="106">
        <v>1060.4484</v>
      </c>
    </row>
    <row r="36" spans="1:36" s="77" customFormat="1" ht="30" customHeight="1">
      <c r="A36" s="26">
        <v>22</v>
      </c>
      <c r="B36" s="31" t="s">
        <v>21</v>
      </c>
      <c r="C36" s="32" t="s">
        <v>44</v>
      </c>
      <c r="D36" s="33"/>
      <c r="E36" s="33"/>
      <c r="F36" s="34" t="s">
        <v>101</v>
      </c>
      <c r="G36" s="47">
        <v>1900</v>
      </c>
      <c r="H36" s="47">
        <v>1900</v>
      </c>
      <c r="I36" s="47">
        <v>1900</v>
      </c>
      <c r="J36" s="47">
        <v>1900</v>
      </c>
      <c r="K36" s="47"/>
      <c r="L36" s="47"/>
      <c r="M36" s="47"/>
      <c r="N36" s="47"/>
      <c r="O36" s="47">
        <f t="shared" si="4"/>
        <v>1838</v>
      </c>
      <c r="P36" s="47">
        <f t="shared" si="7"/>
        <v>638</v>
      </c>
      <c r="Q36" s="47">
        <v>638</v>
      </c>
      <c r="R36" s="47">
        <f t="shared" si="8"/>
        <v>1200</v>
      </c>
      <c r="S36" s="47">
        <v>1200</v>
      </c>
      <c r="T36" s="47">
        <f t="shared" si="9"/>
        <v>1838</v>
      </c>
      <c r="U36" s="47">
        <f>Q36+R36</f>
        <v>1838</v>
      </c>
      <c r="V36" s="47">
        <f t="shared" si="10"/>
        <v>1838</v>
      </c>
      <c r="W36" s="47">
        <f>Q36+S36</f>
        <v>1838</v>
      </c>
      <c r="X36" s="47">
        <f t="shared" si="12"/>
        <v>1838</v>
      </c>
      <c r="Y36" s="47">
        <f>P36+S36</f>
        <v>1838</v>
      </c>
      <c r="Z36" s="47">
        <v>1694.5</v>
      </c>
      <c r="AA36" s="47">
        <f t="shared" si="13"/>
        <v>1593</v>
      </c>
      <c r="AB36" s="47">
        <f t="shared" si="14"/>
        <v>393</v>
      </c>
      <c r="AC36" s="47">
        <f>1593-1200</f>
        <v>393</v>
      </c>
      <c r="AD36" s="47">
        <f t="shared" si="15"/>
        <v>1200</v>
      </c>
      <c r="AE36" s="47">
        <v>1200</v>
      </c>
      <c r="AF36" s="74" t="s">
        <v>45</v>
      </c>
      <c r="AG36" s="85"/>
      <c r="AH36" s="85"/>
      <c r="AI36" s="85">
        <v>35961000</v>
      </c>
      <c r="AJ36" s="85">
        <v>900</v>
      </c>
    </row>
    <row r="37" spans="1:36" s="77" customFormat="1" ht="30" customHeight="1">
      <c r="A37" s="26">
        <v>23</v>
      </c>
      <c r="B37" s="31" t="s">
        <v>20</v>
      </c>
      <c r="C37" s="32" t="s">
        <v>47</v>
      </c>
      <c r="D37" s="33"/>
      <c r="E37" s="33"/>
      <c r="F37" s="34" t="s">
        <v>102</v>
      </c>
      <c r="G37" s="47">
        <v>2300</v>
      </c>
      <c r="H37" s="47">
        <v>2300</v>
      </c>
      <c r="I37" s="47">
        <v>2088</v>
      </c>
      <c r="J37" s="47">
        <v>2088</v>
      </c>
      <c r="K37" s="47"/>
      <c r="L37" s="47"/>
      <c r="M37" s="47">
        <f t="shared" si="16"/>
        <v>1700</v>
      </c>
      <c r="N37" s="47">
        <v>1700</v>
      </c>
      <c r="O37" s="47">
        <f t="shared" si="4"/>
        <v>331.5</v>
      </c>
      <c r="P37" s="47">
        <f t="shared" si="7"/>
        <v>331.5</v>
      </c>
      <c r="Q37" s="47">
        <v>331.5</v>
      </c>
      <c r="R37" s="47">
        <f t="shared" si="8"/>
        <v>0</v>
      </c>
      <c r="S37" s="47"/>
      <c r="T37" s="47">
        <f t="shared" si="9"/>
        <v>317.987</v>
      </c>
      <c r="U37" s="47">
        <v>317.987</v>
      </c>
      <c r="V37" s="47">
        <f t="shared" si="10"/>
        <v>331.5</v>
      </c>
      <c r="W37" s="47">
        <f>Q37+S37</f>
        <v>331.5</v>
      </c>
      <c r="X37" s="47">
        <f t="shared" si="12"/>
        <v>2031.5</v>
      </c>
      <c r="Y37" s="47">
        <f>N37+Q37</f>
        <v>2031.5</v>
      </c>
      <c r="Z37" s="47">
        <v>335.2</v>
      </c>
      <c r="AA37" s="47">
        <f t="shared" si="13"/>
        <v>329.887</v>
      </c>
      <c r="AB37" s="47">
        <f t="shared" si="14"/>
        <v>329.887</v>
      </c>
      <c r="AC37" s="47">
        <v>329.887</v>
      </c>
      <c r="AD37" s="47">
        <f t="shared" si="15"/>
        <v>0</v>
      </c>
      <c r="AE37" s="47"/>
      <c r="AF37" s="74" t="s">
        <v>48</v>
      </c>
      <c r="AG37" s="106"/>
      <c r="AH37" s="106"/>
      <c r="AI37" s="85">
        <v>25845000</v>
      </c>
      <c r="AJ37" s="106">
        <f>AJ35-AJ36</f>
        <v>160.4484</v>
      </c>
    </row>
    <row r="38" spans="1:35" s="77" customFormat="1" ht="30" customHeight="1">
      <c r="A38" s="26">
        <v>24</v>
      </c>
      <c r="B38" s="31" t="s">
        <v>25</v>
      </c>
      <c r="C38" s="32" t="s">
        <v>49</v>
      </c>
      <c r="D38" s="33"/>
      <c r="E38" s="33"/>
      <c r="F38" s="34" t="s">
        <v>103</v>
      </c>
      <c r="G38" s="47">
        <v>2050</v>
      </c>
      <c r="H38" s="47">
        <v>2050</v>
      </c>
      <c r="I38" s="47">
        <v>2050</v>
      </c>
      <c r="J38" s="47">
        <v>2050</v>
      </c>
      <c r="K38" s="47"/>
      <c r="L38" s="47"/>
      <c r="M38" s="47"/>
      <c r="N38" s="47"/>
      <c r="O38" s="47">
        <f t="shared" si="4"/>
        <v>1965.5</v>
      </c>
      <c r="P38" s="47">
        <f t="shared" si="7"/>
        <v>865.5</v>
      </c>
      <c r="Q38" s="47">
        <v>865.5</v>
      </c>
      <c r="R38" s="47">
        <f t="shared" si="8"/>
        <v>1100</v>
      </c>
      <c r="S38" s="47">
        <v>1100</v>
      </c>
      <c r="T38" s="47">
        <f t="shared" si="9"/>
        <v>1160.972</v>
      </c>
      <c r="U38" s="47">
        <f>R38+60.972</f>
        <v>1160.972</v>
      </c>
      <c r="V38" s="47">
        <f t="shared" si="10"/>
        <v>1965.5</v>
      </c>
      <c r="W38" s="47">
        <f>Q38+S38</f>
        <v>1965.5</v>
      </c>
      <c r="X38" s="47">
        <f t="shared" si="12"/>
        <v>1965.5</v>
      </c>
      <c r="Y38" s="47">
        <f>N38+W38</f>
        <v>1965.5</v>
      </c>
      <c r="Z38" s="47">
        <v>1831.9</v>
      </c>
      <c r="AA38" s="47">
        <f t="shared" si="13"/>
        <v>1654.847</v>
      </c>
      <c r="AB38" s="47">
        <f t="shared" si="14"/>
        <v>554.847</v>
      </c>
      <c r="AC38" s="47">
        <f>1654.847-AE38</f>
        <v>554.847</v>
      </c>
      <c r="AD38" s="47">
        <f t="shared" si="15"/>
        <v>1100</v>
      </c>
      <c r="AE38" s="47">
        <v>1100</v>
      </c>
      <c r="AF38" s="74" t="s">
        <v>48</v>
      </c>
      <c r="AG38" s="85"/>
      <c r="AH38" s="85"/>
      <c r="AI38" s="85">
        <v>164000</v>
      </c>
    </row>
    <row r="39" spans="1:35" s="77" customFormat="1" ht="30" customHeight="1">
      <c r="A39" s="26">
        <v>25</v>
      </c>
      <c r="B39" s="31" t="s">
        <v>24</v>
      </c>
      <c r="C39" s="32" t="s">
        <v>40</v>
      </c>
      <c r="D39" s="33"/>
      <c r="E39" s="33"/>
      <c r="F39" s="34" t="s">
        <v>104</v>
      </c>
      <c r="G39" s="47">
        <v>2300</v>
      </c>
      <c r="H39" s="47">
        <v>2300</v>
      </c>
      <c r="I39" s="47">
        <v>2078</v>
      </c>
      <c r="J39" s="47">
        <v>2078</v>
      </c>
      <c r="K39" s="47"/>
      <c r="L39" s="47"/>
      <c r="M39" s="47">
        <f t="shared" si="16"/>
        <v>968.906</v>
      </c>
      <c r="N39" s="47">
        <f>1500-S39</f>
        <v>968.906</v>
      </c>
      <c r="O39" s="47">
        <f t="shared" si="4"/>
        <v>1109.094</v>
      </c>
      <c r="P39" s="47">
        <f t="shared" si="7"/>
        <v>578</v>
      </c>
      <c r="Q39" s="47">
        <v>578</v>
      </c>
      <c r="R39" s="47">
        <f t="shared" si="8"/>
        <v>531.094</v>
      </c>
      <c r="S39" s="47">
        <v>531.094</v>
      </c>
      <c r="T39" s="47">
        <f t="shared" si="9"/>
        <v>991.46</v>
      </c>
      <c r="U39" s="47">
        <f>R39+460.366</f>
        <v>991.46</v>
      </c>
      <c r="V39" s="47">
        <f t="shared" si="10"/>
        <v>1109.094</v>
      </c>
      <c r="W39" s="47">
        <f>Q39+S39</f>
        <v>1109.094</v>
      </c>
      <c r="X39" s="47">
        <f t="shared" si="12"/>
        <v>2078</v>
      </c>
      <c r="Y39" s="47">
        <f>N39+Q39+S39</f>
        <v>2078</v>
      </c>
      <c r="Z39" s="47">
        <v>1554.6</v>
      </c>
      <c r="AA39" s="47">
        <f t="shared" si="13"/>
        <v>944.5540000000001</v>
      </c>
      <c r="AB39" s="47">
        <f t="shared" si="14"/>
        <v>413.46000000000004</v>
      </c>
      <c r="AC39" s="47">
        <f>R39-117.634</f>
        <v>413.46000000000004</v>
      </c>
      <c r="AD39" s="47">
        <f t="shared" si="15"/>
        <v>531.094</v>
      </c>
      <c r="AE39" s="47">
        <f>S39</f>
        <v>531.094</v>
      </c>
      <c r="AF39" s="74" t="s">
        <v>46</v>
      </c>
      <c r="AG39" s="85" t="s">
        <v>212</v>
      </c>
      <c r="AH39" s="85"/>
      <c r="AI39" s="85">
        <v>6179400</v>
      </c>
    </row>
    <row r="40" spans="1:36" s="77" customFormat="1" ht="30" customHeight="1">
      <c r="A40" s="26">
        <v>26</v>
      </c>
      <c r="B40" s="31" t="s">
        <v>26</v>
      </c>
      <c r="C40" s="32" t="s">
        <v>41</v>
      </c>
      <c r="D40" s="33"/>
      <c r="E40" s="33"/>
      <c r="F40" s="34" t="s">
        <v>105</v>
      </c>
      <c r="G40" s="47">
        <v>1800</v>
      </c>
      <c r="H40" s="47">
        <v>1800</v>
      </c>
      <c r="I40" s="47">
        <v>1745</v>
      </c>
      <c r="J40" s="47">
        <v>1745</v>
      </c>
      <c r="K40" s="47"/>
      <c r="L40" s="47"/>
      <c r="M40" s="47">
        <f t="shared" si="16"/>
        <v>1000</v>
      </c>
      <c r="N40" s="47">
        <v>1000</v>
      </c>
      <c r="O40" s="47">
        <f t="shared" si="4"/>
        <v>681.5</v>
      </c>
      <c r="P40" s="47">
        <f t="shared" si="7"/>
        <v>681.5</v>
      </c>
      <c r="Q40" s="47">
        <v>681.5</v>
      </c>
      <c r="R40" s="47">
        <f t="shared" si="8"/>
        <v>0</v>
      </c>
      <c r="S40" s="47"/>
      <c r="T40" s="47">
        <f t="shared" si="9"/>
        <v>615.097</v>
      </c>
      <c r="U40" s="47">
        <v>615.097</v>
      </c>
      <c r="V40" s="47">
        <f t="shared" si="10"/>
        <v>681.5</v>
      </c>
      <c r="W40" s="47">
        <f>Q40</f>
        <v>681.5</v>
      </c>
      <c r="X40" s="47">
        <f t="shared" si="12"/>
        <v>1681.5</v>
      </c>
      <c r="Y40" s="47">
        <f>N40+Q40</f>
        <v>1681.5</v>
      </c>
      <c r="Z40" s="47">
        <v>707.7</v>
      </c>
      <c r="AA40" s="47">
        <f t="shared" si="13"/>
        <v>615.097</v>
      </c>
      <c r="AB40" s="47">
        <f t="shared" si="14"/>
        <v>615.097</v>
      </c>
      <c r="AC40" s="47">
        <f>Q40-66.403</f>
        <v>615.097</v>
      </c>
      <c r="AD40" s="47">
        <f t="shared" si="15"/>
        <v>0</v>
      </c>
      <c r="AE40" s="47"/>
      <c r="AF40" s="74" t="s">
        <v>50</v>
      </c>
      <c r="AG40" s="85"/>
      <c r="AI40" s="85">
        <f>AI33+AI34+AI35+AI36+AI37+AI38+AI39+AI32</f>
        <v>1080540400</v>
      </c>
      <c r="AJ40" s="85">
        <f>AI33+AI34+AI35+AI36+AI37+AI38+AI39</f>
        <v>1060448400</v>
      </c>
    </row>
    <row r="41" spans="1:35" s="30" customFormat="1" ht="46.5" customHeight="1">
      <c r="A41" s="61" t="s">
        <v>10</v>
      </c>
      <c r="B41" s="62" t="s">
        <v>37</v>
      </c>
      <c r="C41" s="63"/>
      <c r="D41" s="63"/>
      <c r="E41" s="63"/>
      <c r="F41" s="63"/>
      <c r="G41" s="72">
        <f>SUM(G42:G54)</f>
        <v>45986</v>
      </c>
      <c r="H41" s="72">
        <f aca="true" t="shared" si="17" ref="H41:AE41">SUM(H42:H54)</f>
        <v>44664.6</v>
      </c>
      <c r="I41" s="72">
        <f t="shared" si="17"/>
        <v>24336</v>
      </c>
      <c r="J41" s="72">
        <f t="shared" si="17"/>
        <v>23403</v>
      </c>
      <c r="K41" s="72">
        <f t="shared" si="17"/>
        <v>0</v>
      </c>
      <c r="L41" s="72">
        <f t="shared" si="17"/>
        <v>0</v>
      </c>
      <c r="M41" s="72">
        <f t="shared" si="17"/>
        <v>17395.624789</v>
      </c>
      <c r="N41" s="72">
        <f t="shared" si="17"/>
        <v>17395.624789</v>
      </c>
      <c r="O41" s="72">
        <f t="shared" si="17"/>
        <v>24475.407210999998</v>
      </c>
      <c r="P41" s="72">
        <f t="shared" si="17"/>
        <v>20851</v>
      </c>
      <c r="Q41" s="72">
        <f t="shared" si="17"/>
        <v>20851</v>
      </c>
      <c r="R41" s="72">
        <f t="shared" si="17"/>
        <v>3624.4072109999997</v>
      </c>
      <c r="S41" s="72">
        <f t="shared" si="17"/>
        <v>3624.4072109999997</v>
      </c>
      <c r="T41" s="72">
        <f t="shared" si="17"/>
        <v>17322.408999999996</v>
      </c>
      <c r="U41" s="72">
        <f t="shared" si="17"/>
        <v>17322.408999999996</v>
      </c>
      <c r="V41" s="72">
        <f t="shared" si="17"/>
        <v>25896.774210999996</v>
      </c>
      <c r="W41" s="72">
        <f t="shared" si="17"/>
        <v>25896.774210999996</v>
      </c>
      <c r="X41" s="72">
        <f t="shared" si="17"/>
        <v>41271.03200000001</v>
      </c>
      <c r="Y41" s="72">
        <f t="shared" si="17"/>
        <v>41271.03200000001</v>
      </c>
      <c r="Z41" s="72">
        <f t="shared" si="17"/>
        <v>24399.600000000002</v>
      </c>
      <c r="AA41" s="72">
        <f t="shared" si="17"/>
        <v>23157.363000000005</v>
      </c>
      <c r="AB41" s="72">
        <f t="shared" si="17"/>
        <v>20419.759000000002</v>
      </c>
      <c r="AC41" s="72">
        <f t="shared" si="17"/>
        <v>20419.759000000002</v>
      </c>
      <c r="AD41" s="72">
        <f t="shared" si="17"/>
        <v>2737.604</v>
      </c>
      <c r="AE41" s="72">
        <f t="shared" si="17"/>
        <v>2737.604</v>
      </c>
      <c r="AF41" s="72"/>
      <c r="AG41" s="73"/>
      <c r="AH41" s="73"/>
      <c r="AI41" s="73"/>
    </row>
    <row r="42" spans="1:35" s="30" customFormat="1" ht="35.25" customHeight="1">
      <c r="A42" s="26">
        <v>1</v>
      </c>
      <c r="B42" s="31" t="s">
        <v>66</v>
      </c>
      <c r="C42" s="32"/>
      <c r="D42" s="34"/>
      <c r="E42" s="34"/>
      <c r="F42" s="34" t="s">
        <v>107</v>
      </c>
      <c r="G42" s="60">
        <v>5200</v>
      </c>
      <c r="H42" s="60">
        <v>5050</v>
      </c>
      <c r="I42" s="60">
        <v>5200</v>
      </c>
      <c r="J42" s="60">
        <v>5050</v>
      </c>
      <c r="K42" s="59"/>
      <c r="L42" s="28"/>
      <c r="M42" s="28">
        <f aca="true" t="shared" si="18" ref="M42:M49">N42</f>
        <v>200</v>
      </c>
      <c r="N42" s="28">
        <v>200</v>
      </c>
      <c r="O42" s="47">
        <f t="shared" si="4"/>
        <v>4300</v>
      </c>
      <c r="P42" s="47">
        <f>Q42</f>
        <v>4300</v>
      </c>
      <c r="Q42" s="47">
        <v>4300</v>
      </c>
      <c r="R42" s="59">
        <f aca="true" t="shared" si="19" ref="R42:R49">S42</f>
        <v>0</v>
      </c>
      <c r="S42" s="59"/>
      <c r="T42" s="47">
        <f aca="true" t="shared" si="20" ref="T42:T49">U42</f>
        <v>2171.537</v>
      </c>
      <c r="U42" s="47">
        <v>2171.537</v>
      </c>
      <c r="V42" s="28">
        <f aca="true" t="shared" si="21" ref="V42:V49">W42</f>
        <v>4300</v>
      </c>
      <c r="W42" s="28">
        <v>4300</v>
      </c>
      <c r="X42" s="28">
        <f aca="true" t="shared" si="22" ref="X42:X49">Y42</f>
        <v>4500</v>
      </c>
      <c r="Y42" s="28">
        <f>N42+Q42</f>
        <v>4500</v>
      </c>
      <c r="Z42" s="28">
        <v>4062.1</v>
      </c>
      <c r="AA42" s="47">
        <f t="shared" si="13"/>
        <v>4062.13</v>
      </c>
      <c r="AB42" s="47">
        <f t="shared" si="14"/>
        <v>4062.13</v>
      </c>
      <c r="AC42" s="28">
        <v>4062.13</v>
      </c>
      <c r="AD42" s="47">
        <f t="shared" si="15"/>
        <v>0</v>
      </c>
      <c r="AE42" s="47"/>
      <c r="AF42" s="28"/>
      <c r="AG42" s="80"/>
      <c r="AH42" s="80"/>
      <c r="AI42" s="80">
        <v>1400000000</v>
      </c>
    </row>
    <row r="43" spans="1:35" s="30" customFormat="1" ht="35.25" customHeight="1">
      <c r="A43" s="26">
        <v>2</v>
      </c>
      <c r="B43" s="31" t="s">
        <v>67</v>
      </c>
      <c r="C43" s="32"/>
      <c r="D43" s="33"/>
      <c r="E43" s="33"/>
      <c r="F43" s="34" t="s">
        <v>108</v>
      </c>
      <c r="G43" s="60">
        <v>1550</v>
      </c>
      <c r="H43" s="60">
        <v>1500</v>
      </c>
      <c r="I43" s="60">
        <v>1550</v>
      </c>
      <c r="J43" s="60">
        <v>1500</v>
      </c>
      <c r="K43" s="59"/>
      <c r="L43" s="28"/>
      <c r="M43" s="28">
        <f t="shared" si="18"/>
        <v>50</v>
      </c>
      <c r="N43" s="28">
        <v>50</v>
      </c>
      <c r="O43" s="47">
        <f t="shared" si="4"/>
        <v>1460</v>
      </c>
      <c r="P43" s="47">
        <f>Q43</f>
        <v>1410</v>
      </c>
      <c r="Q43" s="47">
        <v>1410</v>
      </c>
      <c r="R43" s="59">
        <f t="shared" si="19"/>
        <v>50</v>
      </c>
      <c r="S43" s="59">
        <v>50</v>
      </c>
      <c r="T43" s="47">
        <f t="shared" si="20"/>
        <v>807.619</v>
      </c>
      <c r="U43" s="47">
        <f>757.619+50</f>
        <v>807.619</v>
      </c>
      <c r="V43" s="28">
        <f t="shared" si="21"/>
        <v>1460</v>
      </c>
      <c r="W43" s="47">
        <v>1460</v>
      </c>
      <c r="X43" s="28">
        <f t="shared" si="22"/>
        <v>1460</v>
      </c>
      <c r="Y43" s="28">
        <f>N43+Q43</f>
        <v>1460</v>
      </c>
      <c r="Z43" s="28">
        <v>1318.2</v>
      </c>
      <c r="AA43" s="47">
        <f t="shared" si="13"/>
        <v>1318.233</v>
      </c>
      <c r="AB43" s="47">
        <f t="shared" si="14"/>
        <v>1268.233</v>
      </c>
      <c r="AC43" s="28">
        <v>1268.233</v>
      </c>
      <c r="AD43" s="47">
        <f t="shared" si="15"/>
        <v>50</v>
      </c>
      <c r="AE43" s="47">
        <v>50</v>
      </c>
      <c r="AF43" s="28"/>
      <c r="AG43" s="29"/>
      <c r="AH43" s="29"/>
      <c r="AI43" s="29">
        <v>315885000</v>
      </c>
    </row>
    <row r="44" spans="1:35" s="30" customFormat="1" ht="35.25" customHeight="1">
      <c r="A44" s="26">
        <v>3</v>
      </c>
      <c r="B44" s="31" t="s">
        <v>64</v>
      </c>
      <c r="C44" s="32"/>
      <c r="D44" s="33"/>
      <c r="E44" s="33"/>
      <c r="F44" s="34" t="s">
        <v>90</v>
      </c>
      <c r="G44" s="60">
        <v>3086</v>
      </c>
      <c r="H44" s="60">
        <v>3086</v>
      </c>
      <c r="I44" s="60">
        <v>3086</v>
      </c>
      <c r="J44" s="60">
        <v>3086</v>
      </c>
      <c r="K44" s="59"/>
      <c r="L44" s="28"/>
      <c r="M44" s="28">
        <f t="shared" si="18"/>
        <v>0</v>
      </c>
      <c r="N44" s="28"/>
      <c r="O44" s="47">
        <f t="shared" si="4"/>
        <v>3086</v>
      </c>
      <c r="P44" s="47">
        <f>Q44</f>
        <v>3086</v>
      </c>
      <c r="Q44" s="47">
        <v>3086</v>
      </c>
      <c r="R44" s="59">
        <f t="shared" si="19"/>
        <v>0</v>
      </c>
      <c r="S44" s="59"/>
      <c r="T44" s="47">
        <f t="shared" si="20"/>
        <v>3086</v>
      </c>
      <c r="U44" s="47">
        <v>3086</v>
      </c>
      <c r="V44" s="28">
        <f t="shared" si="21"/>
        <v>3086</v>
      </c>
      <c r="W44" s="28">
        <v>3086</v>
      </c>
      <c r="X44" s="28">
        <f t="shared" si="22"/>
        <v>3086</v>
      </c>
      <c r="Y44" s="28">
        <v>3086</v>
      </c>
      <c r="Z44" s="28">
        <v>3086</v>
      </c>
      <c r="AA44" s="47">
        <f t="shared" si="13"/>
        <v>3086</v>
      </c>
      <c r="AB44" s="47">
        <f t="shared" si="14"/>
        <v>3086</v>
      </c>
      <c r="AC44" s="28">
        <v>3086</v>
      </c>
      <c r="AD44" s="47">
        <f t="shared" si="15"/>
        <v>0</v>
      </c>
      <c r="AE44" s="47"/>
      <c r="AF44" s="39" t="s">
        <v>193</v>
      </c>
      <c r="AG44" s="80"/>
      <c r="AH44" s="80"/>
      <c r="AI44" s="80">
        <f>AI42-AI43</f>
        <v>1084115000</v>
      </c>
    </row>
    <row r="45" spans="1:35" s="30" customFormat="1" ht="35.25" customHeight="1">
      <c r="A45" s="26">
        <v>4</v>
      </c>
      <c r="B45" s="31" t="s">
        <v>69</v>
      </c>
      <c r="C45" s="32"/>
      <c r="D45" s="33"/>
      <c r="E45" s="33"/>
      <c r="F45" s="34" t="s">
        <v>109</v>
      </c>
      <c r="G45" s="60">
        <v>14500</v>
      </c>
      <c r="H45" s="60">
        <v>13767</v>
      </c>
      <c r="I45" s="60">
        <v>14500</v>
      </c>
      <c r="J45" s="60">
        <v>13767</v>
      </c>
      <c r="K45" s="59"/>
      <c r="L45" s="28"/>
      <c r="M45" s="28">
        <f t="shared" si="18"/>
        <v>570.991</v>
      </c>
      <c r="N45" s="28">
        <f>1731.5-S45</f>
        <v>570.991</v>
      </c>
      <c r="O45" s="47">
        <f t="shared" si="4"/>
        <v>12015.509</v>
      </c>
      <c r="P45" s="47">
        <f>Q45</f>
        <v>10855</v>
      </c>
      <c r="Q45" s="47">
        <v>10855</v>
      </c>
      <c r="R45" s="59">
        <f t="shared" si="19"/>
        <v>1160.509</v>
      </c>
      <c r="S45" s="59">
        <v>1160.509</v>
      </c>
      <c r="T45" s="47">
        <f t="shared" si="20"/>
        <v>8874.732</v>
      </c>
      <c r="U45" s="47">
        <f>8111.649+763.083</f>
        <v>8874.732</v>
      </c>
      <c r="V45" s="28">
        <f t="shared" si="21"/>
        <v>12015.509</v>
      </c>
      <c r="W45" s="28">
        <f>10855+S45</f>
        <v>12015.509</v>
      </c>
      <c r="X45" s="28">
        <f t="shared" si="22"/>
        <v>12586.5</v>
      </c>
      <c r="Y45" s="28">
        <f>N45+Q45+S45</f>
        <v>12586.5</v>
      </c>
      <c r="Z45" s="28">
        <v>12015.5</v>
      </c>
      <c r="AA45" s="47">
        <f t="shared" si="13"/>
        <v>12015.509</v>
      </c>
      <c r="AB45" s="47">
        <f t="shared" si="14"/>
        <v>10855</v>
      </c>
      <c r="AC45" s="28">
        <v>10855</v>
      </c>
      <c r="AD45" s="47">
        <f t="shared" si="15"/>
        <v>1160.509</v>
      </c>
      <c r="AE45" s="47">
        <v>1160.509</v>
      </c>
      <c r="AF45" s="28"/>
      <c r="AG45" s="29"/>
      <c r="AH45" s="29"/>
      <c r="AI45" s="29">
        <f>AI44*0.57%</f>
        <v>6179455.499999999</v>
      </c>
    </row>
    <row r="46" spans="1:33" s="30" customFormat="1" ht="44.25" customHeight="1">
      <c r="A46" s="26">
        <v>5</v>
      </c>
      <c r="B46" s="31" t="s">
        <v>126</v>
      </c>
      <c r="C46" s="32"/>
      <c r="D46" s="33"/>
      <c r="E46" s="33"/>
      <c r="F46" s="34" t="s">
        <v>150</v>
      </c>
      <c r="G46" s="38">
        <v>3500</v>
      </c>
      <c r="H46" s="38">
        <v>3500</v>
      </c>
      <c r="I46" s="60"/>
      <c r="J46" s="60"/>
      <c r="K46" s="59"/>
      <c r="L46" s="28"/>
      <c r="M46" s="28">
        <f t="shared" si="18"/>
        <v>3300</v>
      </c>
      <c r="N46" s="28">
        <v>3300</v>
      </c>
      <c r="O46" s="47">
        <f t="shared" si="4"/>
        <v>160.7</v>
      </c>
      <c r="P46" s="47"/>
      <c r="Q46" s="47"/>
      <c r="R46" s="59">
        <f t="shared" si="19"/>
        <v>160.7</v>
      </c>
      <c r="S46" s="59">
        <v>160.7</v>
      </c>
      <c r="T46" s="47">
        <f t="shared" si="20"/>
        <v>50</v>
      </c>
      <c r="U46" s="47">
        <v>50</v>
      </c>
      <c r="V46" s="28">
        <f t="shared" si="21"/>
        <v>160.7</v>
      </c>
      <c r="W46" s="28">
        <f>S46</f>
        <v>160.7</v>
      </c>
      <c r="X46" s="28">
        <f t="shared" si="22"/>
        <v>3460.7</v>
      </c>
      <c r="Y46" s="28">
        <f>N46+Q46+S46</f>
        <v>3460.7</v>
      </c>
      <c r="Z46" s="28"/>
      <c r="AA46" s="47">
        <f t="shared" si="13"/>
        <v>160.669</v>
      </c>
      <c r="AB46" s="47">
        <f t="shared" si="14"/>
        <v>0</v>
      </c>
      <c r="AC46" s="28"/>
      <c r="AD46" s="47">
        <f t="shared" si="15"/>
        <v>160.669</v>
      </c>
      <c r="AE46" s="47">
        <v>160.669</v>
      </c>
      <c r="AF46" s="28"/>
      <c r="AG46" s="29"/>
    </row>
    <row r="47" spans="1:34" s="30" customFormat="1" ht="44.25" customHeight="1">
      <c r="A47" s="26">
        <v>6</v>
      </c>
      <c r="B47" s="31" t="s">
        <v>127</v>
      </c>
      <c r="C47" s="32"/>
      <c r="D47" s="33"/>
      <c r="E47" s="33"/>
      <c r="F47" s="34" t="s">
        <v>148</v>
      </c>
      <c r="G47" s="38">
        <v>2800</v>
      </c>
      <c r="H47" s="38">
        <v>2800</v>
      </c>
      <c r="I47" s="60"/>
      <c r="J47" s="60"/>
      <c r="K47" s="59"/>
      <c r="L47" s="28"/>
      <c r="M47" s="28">
        <f t="shared" si="18"/>
        <v>2514.5</v>
      </c>
      <c r="N47" s="28">
        <v>2514.5</v>
      </c>
      <c r="O47" s="47">
        <f t="shared" si="4"/>
        <v>34.309</v>
      </c>
      <c r="P47" s="47"/>
      <c r="Q47" s="47"/>
      <c r="R47" s="59">
        <f t="shared" si="19"/>
        <v>34.309</v>
      </c>
      <c r="S47" s="59">
        <v>34.309</v>
      </c>
      <c r="T47" s="47">
        <f t="shared" si="20"/>
        <v>34.309</v>
      </c>
      <c r="U47" s="47">
        <v>34.309</v>
      </c>
      <c r="V47" s="59">
        <f t="shared" si="21"/>
        <v>984.679</v>
      </c>
      <c r="W47" s="59">
        <v>984.679</v>
      </c>
      <c r="X47" s="28">
        <f t="shared" si="22"/>
        <v>2548.809</v>
      </c>
      <c r="Y47" s="28">
        <f>N47+Q47+S47</f>
        <v>2548.809</v>
      </c>
      <c r="Z47" s="28"/>
      <c r="AA47" s="47">
        <f t="shared" si="13"/>
        <v>34.309</v>
      </c>
      <c r="AB47" s="47">
        <f t="shared" si="14"/>
        <v>0</v>
      </c>
      <c r="AC47" s="28"/>
      <c r="AD47" s="47">
        <f t="shared" si="15"/>
        <v>34.309</v>
      </c>
      <c r="AE47" s="47">
        <v>34.309</v>
      </c>
      <c r="AF47" s="74"/>
      <c r="AG47" s="75"/>
      <c r="AH47" s="81"/>
    </row>
    <row r="48" spans="1:34" s="30" customFormat="1" ht="44.25" customHeight="1">
      <c r="A48" s="26">
        <v>7</v>
      </c>
      <c r="B48" s="31" t="s">
        <v>128</v>
      </c>
      <c r="C48" s="32"/>
      <c r="D48" s="33"/>
      <c r="E48" s="33"/>
      <c r="F48" s="34" t="s">
        <v>149</v>
      </c>
      <c r="G48" s="38">
        <v>4200</v>
      </c>
      <c r="H48" s="38">
        <v>4200</v>
      </c>
      <c r="I48" s="60"/>
      <c r="J48" s="60"/>
      <c r="K48" s="59"/>
      <c r="L48" s="28"/>
      <c r="M48" s="28">
        <f t="shared" si="18"/>
        <v>3844.6</v>
      </c>
      <c r="N48" s="28">
        <v>3844.6</v>
      </c>
      <c r="O48" s="47">
        <f t="shared" si="4"/>
        <v>129.954</v>
      </c>
      <c r="P48" s="47"/>
      <c r="Q48" s="47"/>
      <c r="R48" s="59">
        <f t="shared" si="19"/>
        <v>129.954</v>
      </c>
      <c r="S48" s="59">
        <v>129.954</v>
      </c>
      <c r="T48" s="47">
        <f t="shared" si="20"/>
        <v>129.946</v>
      </c>
      <c r="U48" s="47">
        <v>129.946</v>
      </c>
      <c r="V48" s="59">
        <f t="shared" si="21"/>
        <v>330.454</v>
      </c>
      <c r="W48" s="59">
        <v>330.454</v>
      </c>
      <c r="X48" s="28">
        <f t="shared" si="22"/>
        <v>3974.554</v>
      </c>
      <c r="Y48" s="28">
        <f>N48+Q48+S48</f>
        <v>3974.554</v>
      </c>
      <c r="Z48" s="28"/>
      <c r="AA48" s="47">
        <f t="shared" si="13"/>
        <v>129.946</v>
      </c>
      <c r="AB48" s="47">
        <f t="shared" si="14"/>
        <v>0</v>
      </c>
      <c r="AC48" s="28"/>
      <c r="AD48" s="47">
        <f t="shared" si="15"/>
        <v>129.946</v>
      </c>
      <c r="AE48" s="47">
        <v>129.946</v>
      </c>
      <c r="AF48" s="74"/>
      <c r="AG48" s="75"/>
      <c r="AH48" s="81"/>
    </row>
    <row r="49" spans="1:34" s="30" customFormat="1" ht="35.25" customHeight="1">
      <c r="A49" s="26">
        <v>8</v>
      </c>
      <c r="B49" s="31" t="s">
        <v>129</v>
      </c>
      <c r="C49" s="32"/>
      <c r="D49" s="33"/>
      <c r="E49" s="33"/>
      <c r="F49" s="34" t="s">
        <v>139</v>
      </c>
      <c r="G49" s="60">
        <v>1000</v>
      </c>
      <c r="H49" s="60">
        <v>990</v>
      </c>
      <c r="I49" s="60"/>
      <c r="J49" s="60"/>
      <c r="K49" s="59"/>
      <c r="L49" s="28"/>
      <c r="M49" s="28">
        <f t="shared" si="18"/>
        <v>474.6</v>
      </c>
      <c r="N49" s="28">
        <v>474.6</v>
      </c>
      <c r="O49" s="47">
        <f t="shared" si="4"/>
        <v>204.869</v>
      </c>
      <c r="P49" s="47"/>
      <c r="Q49" s="47"/>
      <c r="R49" s="59">
        <f t="shared" si="19"/>
        <v>204.869</v>
      </c>
      <c r="S49" s="59">
        <v>204.869</v>
      </c>
      <c r="T49" s="47">
        <f t="shared" si="20"/>
        <v>204.869</v>
      </c>
      <c r="U49" s="47">
        <v>204.869</v>
      </c>
      <c r="V49" s="59">
        <f t="shared" si="21"/>
        <v>525.366</v>
      </c>
      <c r="W49" s="59">
        <v>525.366</v>
      </c>
      <c r="X49" s="28">
        <f t="shared" si="22"/>
        <v>679.469</v>
      </c>
      <c r="Y49" s="28">
        <f>N49+Q49+S49</f>
        <v>679.469</v>
      </c>
      <c r="Z49" s="28">
        <v>204.9</v>
      </c>
      <c r="AA49" s="47">
        <f t="shared" si="13"/>
        <v>204.869</v>
      </c>
      <c r="AB49" s="47">
        <f t="shared" si="14"/>
        <v>0</v>
      </c>
      <c r="AC49" s="28"/>
      <c r="AD49" s="47">
        <f t="shared" si="15"/>
        <v>204.869</v>
      </c>
      <c r="AE49" s="47">
        <v>204.869</v>
      </c>
      <c r="AF49" s="74"/>
      <c r="AG49" s="75"/>
      <c r="AH49" s="81"/>
    </row>
    <row r="50" spans="1:33" s="30" customFormat="1" ht="45.75" customHeight="1">
      <c r="A50" s="26">
        <v>9</v>
      </c>
      <c r="B50" s="31" t="s">
        <v>106</v>
      </c>
      <c r="C50" s="32"/>
      <c r="D50" s="33"/>
      <c r="E50" s="33"/>
      <c r="F50" s="32" t="s">
        <v>110</v>
      </c>
      <c r="G50" s="60">
        <v>1100</v>
      </c>
      <c r="H50" s="60">
        <v>871.6</v>
      </c>
      <c r="I50" s="47"/>
      <c r="J50" s="47"/>
      <c r="K50" s="59"/>
      <c r="L50" s="28"/>
      <c r="M50" s="28">
        <f>N50</f>
        <v>50</v>
      </c>
      <c r="N50" s="28">
        <v>50</v>
      </c>
      <c r="O50" s="47">
        <f t="shared" si="4"/>
        <v>850</v>
      </c>
      <c r="P50" s="47">
        <f>Q50</f>
        <v>800</v>
      </c>
      <c r="Q50" s="47">
        <v>800</v>
      </c>
      <c r="R50" s="47">
        <f>S50</f>
        <v>50</v>
      </c>
      <c r="S50" s="47">
        <v>50</v>
      </c>
      <c r="T50" s="47">
        <f>U50</f>
        <v>800</v>
      </c>
      <c r="U50" s="47">
        <v>800</v>
      </c>
      <c r="V50" s="28">
        <f>W50</f>
        <v>800</v>
      </c>
      <c r="W50" s="28">
        <v>800</v>
      </c>
      <c r="X50" s="28">
        <f>Y50</f>
        <v>850</v>
      </c>
      <c r="Y50" s="107">
        <v>850</v>
      </c>
      <c r="Z50" s="107">
        <v>1000</v>
      </c>
      <c r="AA50" s="47">
        <f t="shared" si="13"/>
        <v>850</v>
      </c>
      <c r="AB50" s="47">
        <f t="shared" si="14"/>
        <v>800</v>
      </c>
      <c r="AC50" s="107">
        <v>800</v>
      </c>
      <c r="AD50" s="47">
        <f t="shared" si="15"/>
        <v>50</v>
      </c>
      <c r="AE50" s="47">
        <v>50</v>
      </c>
      <c r="AF50" s="32" t="s">
        <v>112</v>
      </c>
      <c r="AG50" s="40"/>
    </row>
    <row r="51" spans="1:33" s="30" customFormat="1" ht="35.25" customHeight="1">
      <c r="A51" s="26">
        <v>10</v>
      </c>
      <c r="B51" s="31" t="s">
        <v>68</v>
      </c>
      <c r="C51" s="32"/>
      <c r="D51" s="33"/>
      <c r="E51" s="33"/>
      <c r="F51" s="32" t="s">
        <v>111</v>
      </c>
      <c r="G51" s="60">
        <v>1050</v>
      </c>
      <c r="H51" s="60">
        <v>900</v>
      </c>
      <c r="I51" s="47"/>
      <c r="J51" s="47"/>
      <c r="K51" s="59"/>
      <c r="L51" s="28"/>
      <c r="M51" s="28">
        <v>500</v>
      </c>
      <c r="N51" s="28">
        <v>500</v>
      </c>
      <c r="O51" s="47">
        <f t="shared" si="4"/>
        <v>900</v>
      </c>
      <c r="P51" s="47">
        <f>Q51</f>
        <v>400</v>
      </c>
      <c r="Q51" s="47">
        <v>400</v>
      </c>
      <c r="R51" s="47">
        <f>S51</f>
        <v>500</v>
      </c>
      <c r="S51" s="47">
        <v>500</v>
      </c>
      <c r="T51" s="47">
        <f>U51</f>
        <v>716.135</v>
      </c>
      <c r="U51" s="47">
        <f>500+216.135</f>
        <v>716.135</v>
      </c>
      <c r="V51" s="28">
        <v>900</v>
      </c>
      <c r="W51" s="28">
        <v>900</v>
      </c>
      <c r="X51" s="28">
        <f>Y51</f>
        <v>900</v>
      </c>
      <c r="Y51" s="28">
        <v>900</v>
      </c>
      <c r="Z51" s="28">
        <v>1000</v>
      </c>
      <c r="AA51" s="47">
        <f t="shared" si="13"/>
        <v>848.396</v>
      </c>
      <c r="AB51" s="47">
        <f t="shared" si="14"/>
        <v>348.396</v>
      </c>
      <c r="AC51" s="28">
        <f>400-51.604</f>
        <v>348.396</v>
      </c>
      <c r="AD51" s="47">
        <f t="shared" si="15"/>
        <v>500</v>
      </c>
      <c r="AE51" s="47">
        <v>500</v>
      </c>
      <c r="AF51" s="32" t="s">
        <v>45</v>
      </c>
      <c r="AG51" s="40"/>
    </row>
    <row r="52" spans="1:33" s="30" customFormat="1" ht="35.25" customHeight="1">
      <c r="A52" s="26">
        <v>11</v>
      </c>
      <c r="B52" s="31" t="s">
        <v>169</v>
      </c>
      <c r="C52" s="32"/>
      <c r="D52" s="33"/>
      <c r="E52" s="33"/>
      <c r="F52" s="32" t="s">
        <v>172</v>
      </c>
      <c r="G52" s="60">
        <v>4500</v>
      </c>
      <c r="H52" s="60">
        <v>4500</v>
      </c>
      <c r="I52" s="47"/>
      <c r="J52" s="47"/>
      <c r="K52" s="59"/>
      <c r="L52" s="28"/>
      <c r="M52" s="28">
        <f>Y52-R52</f>
        <v>3657.344</v>
      </c>
      <c r="N52" s="28">
        <f>M52</f>
        <v>3657.344</v>
      </c>
      <c r="O52" s="47">
        <f t="shared" si="4"/>
        <v>670.656</v>
      </c>
      <c r="P52" s="47"/>
      <c r="Q52" s="47"/>
      <c r="R52" s="47">
        <v>670.656</v>
      </c>
      <c r="S52" s="47">
        <v>670.656</v>
      </c>
      <c r="T52" s="47">
        <v>22.61</v>
      </c>
      <c r="U52" s="47">
        <v>22.61</v>
      </c>
      <c r="V52" s="47">
        <v>670.656</v>
      </c>
      <c r="W52" s="47">
        <v>670.656</v>
      </c>
      <c r="X52" s="47">
        <v>4328</v>
      </c>
      <c r="Y52" s="47">
        <v>4328</v>
      </c>
      <c r="Z52" s="47">
        <v>670.7</v>
      </c>
      <c r="AA52" s="47">
        <f t="shared" si="13"/>
        <v>22.61</v>
      </c>
      <c r="AB52" s="47">
        <f t="shared" si="14"/>
        <v>0</v>
      </c>
      <c r="AC52" s="47"/>
      <c r="AD52" s="47">
        <f t="shared" si="15"/>
        <v>22.61</v>
      </c>
      <c r="AE52" s="47">
        <v>22.61</v>
      </c>
      <c r="AF52" s="32" t="s">
        <v>52</v>
      </c>
      <c r="AG52" s="40" t="s">
        <v>209</v>
      </c>
    </row>
    <row r="53" spans="1:33" s="30" customFormat="1" ht="35.25" customHeight="1">
      <c r="A53" s="26">
        <v>12</v>
      </c>
      <c r="B53" s="31" t="s">
        <v>170</v>
      </c>
      <c r="C53" s="32"/>
      <c r="D53" s="33"/>
      <c r="E53" s="33"/>
      <c r="F53" s="32" t="s">
        <v>173</v>
      </c>
      <c r="G53" s="60">
        <v>2000</v>
      </c>
      <c r="H53" s="60">
        <v>2000</v>
      </c>
      <c r="I53" s="47"/>
      <c r="J53" s="47"/>
      <c r="K53" s="59"/>
      <c r="L53" s="28"/>
      <c r="M53" s="28">
        <f>Y53-R53</f>
        <v>1594.549789</v>
      </c>
      <c r="N53" s="28">
        <f>M53</f>
        <v>1594.549789</v>
      </c>
      <c r="O53" s="47">
        <f t="shared" si="4"/>
        <v>310.450211</v>
      </c>
      <c r="P53" s="47"/>
      <c r="Q53" s="47"/>
      <c r="R53" s="47">
        <v>310.450211</v>
      </c>
      <c r="S53" s="47">
        <v>310.450211</v>
      </c>
      <c r="T53" s="47">
        <v>71.692</v>
      </c>
      <c r="U53" s="47">
        <v>71.692</v>
      </c>
      <c r="V53" s="47">
        <v>310.450211</v>
      </c>
      <c r="W53" s="47">
        <v>310.450211</v>
      </c>
      <c r="X53" s="47">
        <v>1905</v>
      </c>
      <c r="Y53" s="47">
        <v>1905</v>
      </c>
      <c r="Z53" s="47">
        <v>100</v>
      </c>
      <c r="AA53" s="47">
        <f t="shared" si="13"/>
        <v>71.692</v>
      </c>
      <c r="AB53" s="47">
        <f t="shared" si="14"/>
        <v>0</v>
      </c>
      <c r="AC53" s="47"/>
      <c r="AD53" s="47">
        <f t="shared" si="15"/>
        <v>71.692</v>
      </c>
      <c r="AE53" s="47">
        <v>71.692</v>
      </c>
      <c r="AF53" s="32" t="s">
        <v>65</v>
      </c>
      <c r="AG53" s="40" t="s">
        <v>210</v>
      </c>
    </row>
    <row r="54" spans="1:33" s="30" customFormat="1" ht="35.25" customHeight="1">
      <c r="A54" s="26">
        <v>13</v>
      </c>
      <c r="B54" s="31" t="s">
        <v>171</v>
      </c>
      <c r="C54" s="32"/>
      <c r="D54" s="33"/>
      <c r="E54" s="33"/>
      <c r="F54" s="32" t="s">
        <v>174</v>
      </c>
      <c r="G54" s="60">
        <v>1500</v>
      </c>
      <c r="H54" s="60">
        <v>1500</v>
      </c>
      <c r="I54" s="47"/>
      <c r="J54" s="47"/>
      <c r="K54" s="59"/>
      <c r="L54" s="28"/>
      <c r="M54" s="28">
        <f>X54-R54</f>
        <v>639.04</v>
      </c>
      <c r="N54" s="28">
        <f>M54</f>
        <v>639.04</v>
      </c>
      <c r="O54" s="47">
        <f t="shared" si="4"/>
        <v>352.96</v>
      </c>
      <c r="P54" s="47"/>
      <c r="Q54" s="47"/>
      <c r="R54" s="47">
        <v>352.96</v>
      </c>
      <c r="S54" s="47">
        <v>352.96</v>
      </c>
      <c r="T54" s="47">
        <v>352.96</v>
      </c>
      <c r="U54" s="47">
        <v>352.96</v>
      </c>
      <c r="V54" s="47">
        <v>352.96</v>
      </c>
      <c r="W54" s="47">
        <v>352.96</v>
      </c>
      <c r="X54" s="47">
        <v>992</v>
      </c>
      <c r="Y54" s="47">
        <v>992</v>
      </c>
      <c r="Z54" s="47">
        <v>942.2</v>
      </c>
      <c r="AA54" s="47">
        <f t="shared" si="13"/>
        <v>353</v>
      </c>
      <c r="AB54" s="47">
        <f t="shared" si="14"/>
        <v>0</v>
      </c>
      <c r="AC54" s="47"/>
      <c r="AD54" s="47">
        <f t="shared" si="15"/>
        <v>353</v>
      </c>
      <c r="AE54" s="47">
        <v>353</v>
      </c>
      <c r="AF54" s="32" t="s">
        <v>46</v>
      </c>
      <c r="AG54" s="40" t="s">
        <v>211</v>
      </c>
    </row>
    <row r="55" spans="1:35" s="30" customFormat="1" ht="68.25" customHeight="1">
      <c r="A55" s="56" t="s">
        <v>11</v>
      </c>
      <c r="B55" s="68" t="s">
        <v>70</v>
      </c>
      <c r="C55" s="25"/>
      <c r="D55" s="25"/>
      <c r="E55" s="25"/>
      <c r="F55" s="26"/>
      <c r="G55" s="27">
        <f aca="true" t="shared" si="23" ref="G55:AE55">SUM(G56:G72)</f>
        <v>102666.506495</v>
      </c>
      <c r="H55" s="43">
        <f t="shared" si="23"/>
        <v>99076.621539</v>
      </c>
      <c r="I55" s="43">
        <f t="shared" si="23"/>
        <v>63758</v>
      </c>
      <c r="J55" s="43">
        <f t="shared" si="23"/>
        <v>47686</v>
      </c>
      <c r="K55" s="43">
        <f t="shared" si="23"/>
        <v>0</v>
      </c>
      <c r="L55" s="43">
        <f t="shared" si="23"/>
        <v>0</v>
      </c>
      <c r="M55" s="43">
        <f t="shared" si="23"/>
        <v>32086.913</v>
      </c>
      <c r="N55" s="43">
        <f t="shared" si="23"/>
        <v>32086.913</v>
      </c>
      <c r="O55" s="43">
        <f t="shared" si="23"/>
        <v>43878.255000000005</v>
      </c>
      <c r="P55" s="43">
        <f t="shared" si="23"/>
        <v>32490</v>
      </c>
      <c r="Q55" s="43">
        <f t="shared" si="23"/>
        <v>32490</v>
      </c>
      <c r="R55" s="43">
        <f t="shared" si="23"/>
        <v>11388.255000000001</v>
      </c>
      <c r="S55" s="43">
        <f t="shared" si="23"/>
        <v>11388.255000000001</v>
      </c>
      <c r="T55" s="43">
        <f t="shared" si="23"/>
        <v>28782.852000000003</v>
      </c>
      <c r="U55" s="43">
        <f t="shared" si="23"/>
        <v>28782.852000000003</v>
      </c>
      <c r="V55" s="43">
        <f t="shared" si="23"/>
        <v>43695.748999999996</v>
      </c>
      <c r="W55" s="43">
        <f t="shared" si="23"/>
        <v>43695.748999999996</v>
      </c>
      <c r="X55" s="43">
        <f t="shared" si="23"/>
        <v>75951.515</v>
      </c>
      <c r="Y55" s="43">
        <f t="shared" si="23"/>
        <v>75951.515</v>
      </c>
      <c r="Z55" s="43">
        <f t="shared" si="23"/>
        <v>40081.40000000001</v>
      </c>
      <c r="AA55" s="43">
        <f t="shared" si="23"/>
        <v>41644.096000000005</v>
      </c>
      <c r="AB55" s="43">
        <f t="shared" si="23"/>
        <v>30795.848</v>
      </c>
      <c r="AC55" s="43">
        <f t="shared" si="23"/>
        <v>30795.848</v>
      </c>
      <c r="AD55" s="43">
        <f t="shared" si="23"/>
        <v>10848.248000000001</v>
      </c>
      <c r="AE55" s="43">
        <f t="shared" si="23"/>
        <v>10848.248000000001</v>
      </c>
      <c r="AF55" s="64" t="s">
        <v>122</v>
      </c>
      <c r="AG55" s="54"/>
      <c r="AH55" s="82"/>
      <c r="AI55" s="83"/>
    </row>
    <row r="56" spans="1:32" s="77" customFormat="1" ht="38.25" customHeight="1">
      <c r="A56" s="26">
        <v>1</v>
      </c>
      <c r="B56" s="31" t="s">
        <v>71</v>
      </c>
      <c r="C56" s="32" t="s">
        <v>40</v>
      </c>
      <c r="D56" s="33"/>
      <c r="E56" s="33"/>
      <c r="F56" s="34" t="s">
        <v>115</v>
      </c>
      <c r="G56" s="47">
        <v>14990</v>
      </c>
      <c r="H56" s="47">
        <v>14900</v>
      </c>
      <c r="I56" s="47">
        <v>14990</v>
      </c>
      <c r="J56" s="47">
        <v>14900</v>
      </c>
      <c r="K56" s="47"/>
      <c r="L56" s="47"/>
      <c r="M56" s="47">
        <f>N56</f>
        <v>7000.192</v>
      </c>
      <c r="N56" s="47">
        <f>7500-S56</f>
        <v>7000.192</v>
      </c>
      <c r="O56" s="47">
        <f t="shared" si="4"/>
        <v>7352.808</v>
      </c>
      <c r="P56" s="47">
        <f>Q56</f>
        <v>6853</v>
      </c>
      <c r="Q56" s="47">
        <f>7400-547</f>
        <v>6853</v>
      </c>
      <c r="R56" s="47">
        <f>S56</f>
        <v>499.808</v>
      </c>
      <c r="S56" s="47">
        <v>499.808</v>
      </c>
      <c r="T56" s="47">
        <f>U56</f>
        <v>3334.704</v>
      </c>
      <c r="U56" s="47">
        <v>3334.704</v>
      </c>
      <c r="V56" s="47">
        <f>W56</f>
        <v>7352.808</v>
      </c>
      <c r="W56" s="47">
        <f>Q56+S56</f>
        <v>7352.808</v>
      </c>
      <c r="X56" s="47">
        <f>Y56</f>
        <v>14353</v>
      </c>
      <c r="Y56" s="47">
        <f>N56+Q56+S56</f>
        <v>14353</v>
      </c>
      <c r="Z56" s="47">
        <v>7028.4</v>
      </c>
      <c r="AA56" s="47">
        <f t="shared" si="13"/>
        <v>7028.354</v>
      </c>
      <c r="AB56" s="47">
        <f t="shared" si="14"/>
        <v>6528.546</v>
      </c>
      <c r="AC56" s="28">
        <v>6528.546</v>
      </c>
      <c r="AD56" s="47">
        <f t="shared" si="15"/>
        <v>499.808</v>
      </c>
      <c r="AE56" s="47">
        <v>499.808</v>
      </c>
      <c r="AF56" s="78"/>
    </row>
    <row r="57" spans="1:32" s="77" customFormat="1" ht="38.25" customHeight="1">
      <c r="A57" s="26">
        <v>2</v>
      </c>
      <c r="B57" s="31" t="s">
        <v>72</v>
      </c>
      <c r="C57" s="32"/>
      <c r="D57" s="33"/>
      <c r="E57" s="33"/>
      <c r="F57" s="34" t="s">
        <v>116</v>
      </c>
      <c r="G57" s="47">
        <v>12500</v>
      </c>
      <c r="H57" s="47">
        <v>11641.400000000001</v>
      </c>
      <c r="I57" s="47">
        <v>11500</v>
      </c>
      <c r="J57" s="47">
        <v>10642</v>
      </c>
      <c r="K57" s="47"/>
      <c r="L57" s="47"/>
      <c r="M57" s="47">
        <f>N57</f>
        <v>5109.548</v>
      </c>
      <c r="N57" s="47">
        <f>6000-S57</f>
        <v>5109.548</v>
      </c>
      <c r="O57" s="47">
        <f t="shared" si="4"/>
        <v>5270.952</v>
      </c>
      <c r="P57" s="47">
        <f>Q57</f>
        <v>4380.5</v>
      </c>
      <c r="Q57" s="47">
        <v>4380.5</v>
      </c>
      <c r="R57" s="47">
        <f>S57</f>
        <v>890.452</v>
      </c>
      <c r="S57" s="47">
        <v>890.452</v>
      </c>
      <c r="T57" s="47">
        <f>U57</f>
        <v>3350.839</v>
      </c>
      <c r="U57" s="47">
        <v>3350.839</v>
      </c>
      <c r="V57" s="47">
        <f>W57</f>
        <v>5270.952</v>
      </c>
      <c r="W57" s="47">
        <f>Q57+R57</f>
        <v>5270.952</v>
      </c>
      <c r="X57" s="47">
        <f>Y57</f>
        <v>10380.499999999998</v>
      </c>
      <c r="Y57" s="47">
        <f>N57+Q57+S57</f>
        <v>10380.499999999998</v>
      </c>
      <c r="Z57" s="47">
        <v>5174.4</v>
      </c>
      <c r="AA57" s="47">
        <f t="shared" si="13"/>
        <v>5174.423</v>
      </c>
      <c r="AB57" s="47">
        <f t="shared" si="14"/>
        <v>4283.971</v>
      </c>
      <c r="AC57" s="28">
        <v>4283.971</v>
      </c>
      <c r="AD57" s="47">
        <f t="shared" si="15"/>
        <v>890.452</v>
      </c>
      <c r="AE57" s="47">
        <v>890.452</v>
      </c>
      <c r="AF57" s="78"/>
    </row>
    <row r="58" spans="1:32" s="77" customFormat="1" ht="38.25" customHeight="1">
      <c r="A58" s="26">
        <v>3</v>
      </c>
      <c r="B58" s="31" t="s">
        <v>73</v>
      </c>
      <c r="C58" s="32"/>
      <c r="D58" s="33"/>
      <c r="E58" s="33"/>
      <c r="F58" s="34" t="s">
        <v>117</v>
      </c>
      <c r="G58" s="47">
        <v>6000</v>
      </c>
      <c r="H58" s="47">
        <v>5844.5</v>
      </c>
      <c r="I58" s="47">
        <v>2800</v>
      </c>
      <c r="J58" s="47">
        <v>2628</v>
      </c>
      <c r="K58" s="47"/>
      <c r="L58" s="47"/>
      <c r="M58" s="47">
        <f>N58</f>
        <v>1146.673</v>
      </c>
      <c r="N58" s="47">
        <f>1328-S58</f>
        <v>1146.673</v>
      </c>
      <c r="O58" s="47">
        <f t="shared" si="4"/>
        <v>1231.827</v>
      </c>
      <c r="P58" s="47">
        <f>Q58</f>
        <v>1050.5</v>
      </c>
      <c r="Q58" s="47">
        <v>1050.5</v>
      </c>
      <c r="R58" s="47">
        <f>S58</f>
        <v>181.327</v>
      </c>
      <c r="S58" s="47">
        <v>181.327</v>
      </c>
      <c r="T58" s="47">
        <f>U58</f>
        <v>883.53</v>
      </c>
      <c r="U58" s="47">
        <v>883.53</v>
      </c>
      <c r="V58" s="47">
        <f>W58</f>
        <v>1231.827</v>
      </c>
      <c r="W58" s="47">
        <f>Q58+S58</f>
        <v>1231.827</v>
      </c>
      <c r="X58" s="47">
        <f>Y58</f>
        <v>2378.5</v>
      </c>
      <c r="Y58" s="47">
        <f>N58+Q58+S58</f>
        <v>2378.5</v>
      </c>
      <c r="Z58" s="47">
        <v>1231.8</v>
      </c>
      <c r="AA58" s="47">
        <f t="shared" si="13"/>
        <v>1231.827</v>
      </c>
      <c r="AB58" s="47">
        <f t="shared" si="14"/>
        <v>1050.5</v>
      </c>
      <c r="AC58" s="28">
        <v>1050.5</v>
      </c>
      <c r="AD58" s="47">
        <f t="shared" si="15"/>
        <v>181.327</v>
      </c>
      <c r="AE58" s="47">
        <v>181.327</v>
      </c>
      <c r="AF58" s="78"/>
    </row>
    <row r="59" spans="1:32" s="77" customFormat="1" ht="38.25" customHeight="1">
      <c r="A59" s="26">
        <v>4</v>
      </c>
      <c r="B59" s="31" t="s">
        <v>113</v>
      </c>
      <c r="C59" s="32"/>
      <c r="D59" s="33"/>
      <c r="E59" s="33"/>
      <c r="F59" s="34" t="s">
        <v>163</v>
      </c>
      <c r="G59" s="47">
        <v>5000</v>
      </c>
      <c r="H59" s="47">
        <v>2700</v>
      </c>
      <c r="I59" s="47">
        <v>5000</v>
      </c>
      <c r="J59" s="47">
        <v>2700</v>
      </c>
      <c r="K59" s="47"/>
      <c r="L59" s="47"/>
      <c r="M59" s="47">
        <f>N59</f>
        <v>0</v>
      </c>
      <c r="N59" s="47"/>
      <c r="O59" s="47">
        <f t="shared" si="4"/>
        <v>2700</v>
      </c>
      <c r="P59" s="47">
        <f>Q59</f>
        <v>2700</v>
      </c>
      <c r="Q59" s="47">
        <v>2700</v>
      </c>
      <c r="R59" s="47">
        <f>S59</f>
        <v>0</v>
      </c>
      <c r="S59" s="47"/>
      <c r="T59" s="47">
        <f>U59</f>
        <v>2700</v>
      </c>
      <c r="U59" s="47">
        <v>2700</v>
      </c>
      <c r="V59" s="47">
        <f>W59</f>
        <v>2700</v>
      </c>
      <c r="W59" s="47">
        <v>2700</v>
      </c>
      <c r="X59" s="47">
        <f>Y59</f>
        <v>2700</v>
      </c>
      <c r="Y59" s="47">
        <f>N59+Q59+S59</f>
        <v>2700</v>
      </c>
      <c r="Z59" s="47">
        <v>2700</v>
      </c>
      <c r="AA59" s="47">
        <f t="shared" si="13"/>
        <v>2700</v>
      </c>
      <c r="AB59" s="47">
        <f t="shared" si="14"/>
        <v>2700</v>
      </c>
      <c r="AC59" s="28">
        <v>2700</v>
      </c>
      <c r="AD59" s="47">
        <f t="shared" si="15"/>
        <v>0</v>
      </c>
      <c r="AE59" s="47"/>
      <c r="AF59" s="78" t="s">
        <v>195</v>
      </c>
    </row>
    <row r="60" spans="1:32" s="77" customFormat="1" ht="38.25" customHeight="1">
      <c r="A60" s="26">
        <v>5</v>
      </c>
      <c r="B60" s="31" t="s">
        <v>114</v>
      </c>
      <c r="C60" s="32"/>
      <c r="D60" s="33"/>
      <c r="E60" s="33"/>
      <c r="F60" s="34" t="s">
        <v>118</v>
      </c>
      <c r="G60" s="47">
        <v>11068</v>
      </c>
      <c r="H60" s="47">
        <v>11034</v>
      </c>
      <c r="I60" s="47">
        <v>11068</v>
      </c>
      <c r="J60" s="47">
        <v>11034</v>
      </c>
      <c r="K60" s="47"/>
      <c r="L60" s="47"/>
      <c r="M60" s="47">
        <f>N60</f>
        <v>0</v>
      </c>
      <c r="N60" s="47"/>
      <c r="O60" s="47">
        <f t="shared" si="4"/>
        <v>10161</v>
      </c>
      <c r="P60" s="47">
        <f>Q60</f>
        <v>10161</v>
      </c>
      <c r="Q60" s="47">
        <f>11034-873</f>
        <v>10161</v>
      </c>
      <c r="R60" s="47">
        <f>S60</f>
        <v>0</v>
      </c>
      <c r="S60" s="47"/>
      <c r="T60" s="47">
        <f>U60</f>
        <v>6106.323</v>
      </c>
      <c r="U60" s="47">
        <v>6106.323</v>
      </c>
      <c r="V60" s="47">
        <f>W60</f>
        <v>10161</v>
      </c>
      <c r="W60" s="47">
        <v>10161</v>
      </c>
      <c r="X60" s="47">
        <f>Y60</f>
        <v>10161</v>
      </c>
      <c r="Y60" s="47">
        <f>N60+Q60+S60</f>
        <v>10161</v>
      </c>
      <c r="Z60" s="47">
        <v>9655.2</v>
      </c>
      <c r="AA60" s="47">
        <f t="shared" si="13"/>
        <v>9655.173</v>
      </c>
      <c r="AB60" s="47">
        <f t="shared" si="14"/>
        <v>9655.173</v>
      </c>
      <c r="AC60" s="28">
        <v>9655.173</v>
      </c>
      <c r="AD60" s="47">
        <f t="shared" si="15"/>
        <v>0</v>
      </c>
      <c r="AE60" s="47"/>
      <c r="AF60" s="78"/>
    </row>
    <row r="61" spans="1:34" s="77" customFormat="1" ht="38.25" customHeight="1">
      <c r="A61" s="26">
        <v>6</v>
      </c>
      <c r="B61" s="31" t="s">
        <v>130</v>
      </c>
      <c r="C61" s="32"/>
      <c r="D61" s="33"/>
      <c r="E61" s="33"/>
      <c r="F61" s="34" t="s">
        <v>140</v>
      </c>
      <c r="G61" s="47">
        <v>3200</v>
      </c>
      <c r="H61" s="47">
        <v>3185</v>
      </c>
      <c r="I61" s="47"/>
      <c r="J61" s="47"/>
      <c r="K61" s="47"/>
      <c r="L61" s="47"/>
      <c r="M61" s="47">
        <f aca="true" t="shared" si="24" ref="M61:M68">N61</f>
        <v>1276</v>
      </c>
      <c r="N61" s="47">
        <v>1276</v>
      </c>
      <c r="O61" s="47">
        <f t="shared" si="4"/>
        <v>1532.982</v>
      </c>
      <c r="P61" s="47"/>
      <c r="Q61" s="47"/>
      <c r="R61" s="47">
        <f aca="true" t="shared" si="25" ref="R61:R68">S61</f>
        <v>1532.982</v>
      </c>
      <c r="S61" s="47">
        <v>1532.982</v>
      </c>
      <c r="T61" s="47">
        <f aca="true" t="shared" si="26" ref="T61:T68">U61</f>
        <v>1532.982</v>
      </c>
      <c r="U61" s="47">
        <v>1532.982</v>
      </c>
      <c r="V61" s="47">
        <f aca="true" t="shared" si="27" ref="V61:V68">W61</f>
        <v>1764.549</v>
      </c>
      <c r="W61" s="47">
        <v>1764.549</v>
      </c>
      <c r="X61" s="47">
        <f aca="true" t="shared" si="28" ref="X61:X68">Y61</f>
        <v>2808.982</v>
      </c>
      <c r="Y61" s="47">
        <f aca="true" t="shared" si="29" ref="Y61:Y68">N61+Q61+S61</f>
        <v>2808.982</v>
      </c>
      <c r="Z61" s="47">
        <v>1533</v>
      </c>
      <c r="AA61" s="47">
        <f t="shared" si="13"/>
        <v>1532.982</v>
      </c>
      <c r="AB61" s="47">
        <f t="shared" si="14"/>
        <v>0</v>
      </c>
      <c r="AC61" s="28"/>
      <c r="AD61" s="47">
        <f t="shared" si="15"/>
        <v>1532.982</v>
      </c>
      <c r="AE61" s="47">
        <v>1532.982</v>
      </c>
      <c r="AF61" s="74"/>
      <c r="AG61" s="75"/>
      <c r="AH61" s="81"/>
    </row>
    <row r="62" spans="1:34" s="77" customFormat="1" ht="38.25" customHeight="1">
      <c r="A62" s="26">
        <v>7</v>
      </c>
      <c r="B62" s="31" t="s">
        <v>131</v>
      </c>
      <c r="C62" s="32"/>
      <c r="D62" s="33"/>
      <c r="E62" s="33"/>
      <c r="F62" s="34" t="s">
        <v>141</v>
      </c>
      <c r="G62" s="47">
        <v>5128.507</v>
      </c>
      <c r="H62" s="47">
        <v>5103.477</v>
      </c>
      <c r="I62" s="47"/>
      <c r="J62" s="47"/>
      <c r="K62" s="47"/>
      <c r="L62" s="47"/>
      <c r="M62" s="47">
        <f t="shared" si="24"/>
        <v>3425.1</v>
      </c>
      <c r="N62" s="47">
        <v>3425.1</v>
      </c>
      <c r="O62" s="47">
        <f t="shared" si="4"/>
        <v>936.362</v>
      </c>
      <c r="P62" s="47"/>
      <c r="Q62" s="47"/>
      <c r="R62" s="47">
        <f t="shared" si="25"/>
        <v>936.362</v>
      </c>
      <c r="S62" s="47">
        <v>936.362</v>
      </c>
      <c r="T62" s="47">
        <f t="shared" si="26"/>
        <v>936.362</v>
      </c>
      <c r="U62" s="47">
        <v>936.362</v>
      </c>
      <c r="V62" s="47">
        <f t="shared" si="27"/>
        <v>1531.869</v>
      </c>
      <c r="W62" s="47">
        <v>1531.869</v>
      </c>
      <c r="X62" s="47">
        <f t="shared" si="28"/>
        <v>4361.4619999999995</v>
      </c>
      <c r="Y62" s="47">
        <f t="shared" si="29"/>
        <v>4361.4619999999995</v>
      </c>
      <c r="Z62" s="47">
        <v>936.4</v>
      </c>
      <c r="AA62" s="47">
        <f t="shared" si="13"/>
        <v>936.362</v>
      </c>
      <c r="AB62" s="47">
        <f t="shared" si="14"/>
        <v>0</v>
      </c>
      <c r="AC62" s="28"/>
      <c r="AD62" s="47">
        <f t="shared" si="15"/>
        <v>936.362</v>
      </c>
      <c r="AE62" s="47">
        <v>936.362</v>
      </c>
      <c r="AF62" s="74"/>
      <c r="AG62" s="75"/>
      <c r="AH62" s="81"/>
    </row>
    <row r="63" spans="1:34" s="77" customFormat="1" ht="38.25" customHeight="1">
      <c r="A63" s="26">
        <v>8</v>
      </c>
      <c r="B63" s="31" t="s">
        <v>132</v>
      </c>
      <c r="C63" s="32"/>
      <c r="D63" s="33"/>
      <c r="E63" s="33"/>
      <c r="F63" s="34" t="s">
        <v>142</v>
      </c>
      <c r="G63" s="47">
        <v>1999.999495</v>
      </c>
      <c r="H63" s="47">
        <v>1989.828</v>
      </c>
      <c r="I63" s="47"/>
      <c r="J63" s="47"/>
      <c r="K63" s="47"/>
      <c r="L63" s="47"/>
      <c r="M63" s="47">
        <f t="shared" si="24"/>
        <v>1879.2</v>
      </c>
      <c r="N63" s="47">
        <v>1879.2</v>
      </c>
      <c r="O63" s="47">
        <f t="shared" si="4"/>
        <v>12.788</v>
      </c>
      <c r="P63" s="47"/>
      <c r="Q63" s="47"/>
      <c r="R63" s="47">
        <f t="shared" si="25"/>
        <v>12.788</v>
      </c>
      <c r="S63" s="47">
        <v>12.788</v>
      </c>
      <c r="T63" s="47">
        <f t="shared" si="26"/>
        <v>12.788</v>
      </c>
      <c r="U63" s="47">
        <v>12.788</v>
      </c>
      <c r="V63" s="47">
        <f t="shared" si="27"/>
        <v>41.32</v>
      </c>
      <c r="W63" s="47">
        <v>41.32</v>
      </c>
      <c r="X63" s="47">
        <f t="shared" si="28"/>
        <v>1891.988</v>
      </c>
      <c r="Y63" s="47">
        <f t="shared" si="29"/>
        <v>1891.988</v>
      </c>
      <c r="Z63" s="47">
        <v>12.8</v>
      </c>
      <c r="AA63" s="47">
        <f t="shared" si="13"/>
        <v>12.788</v>
      </c>
      <c r="AB63" s="47">
        <f t="shared" si="14"/>
        <v>0</v>
      </c>
      <c r="AC63" s="28"/>
      <c r="AD63" s="47">
        <f t="shared" si="15"/>
        <v>12.788</v>
      </c>
      <c r="AE63" s="47">
        <v>12.788</v>
      </c>
      <c r="AF63" s="74"/>
      <c r="AG63" s="75"/>
      <c r="AH63" s="81"/>
    </row>
    <row r="64" spans="1:34" s="77" customFormat="1" ht="38.25" customHeight="1">
      <c r="A64" s="26">
        <v>9</v>
      </c>
      <c r="B64" s="31" t="s">
        <v>133</v>
      </c>
      <c r="C64" s="32"/>
      <c r="D64" s="33"/>
      <c r="E64" s="33"/>
      <c r="F64" s="34" t="s">
        <v>143</v>
      </c>
      <c r="G64" s="47">
        <v>2500</v>
      </c>
      <c r="H64" s="47">
        <v>2485</v>
      </c>
      <c r="I64" s="47"/>
      <c r="J64" s="47"/>
      <c r="K64" s="47"/>
      <c r="L64" s="47"/>
      <c r="M64" s="47">
        <f t="shared" si="24"/>
        <v>2028.3</v>
      </c>
      <c r="N64" s="47">
        <v>2028.3</v>
      </c>
      <c r="O64" s="47">
        <f t="shared" si="4"/>
        <v>11.869</v>
      </c>
      <c r="P64" s="47"/>
      <c r="Q64" s="47"/>
      <c r="R64" s="47">
        <f t="shared" si="25"/>
        <v>11.869</v>
      </c>
      <c r="S64" s="47">
        <v>11.869</v>
      </c>
      <c r="T64" s="47">
        <f t="shared" si="26"/>
        <v>11.869</v>
      </c>
      <c r="U64" s="47">
        <v>11.869</v>
      </c>
      <c r="V64" s="47">
        <f t="shared" si="27"/>
        <v>96.7</v>
      </c>
      <c r="W64" s="47">
        <v>96.7</v>
      </c>
      <c r="X64" s="47">
        <f t="shared" si="28"/>
        <v>2040.1689999999999</v>
      </c>
      <c r="Y64" s="47">
        <f t="shared" si="29"/>
        <v>2040.1689999999999</v>
      </c>
      <c r="Z64" s="47">
        <v>11.9</v>
      </c>
      <c r="AA64" s="47">
        <f t="shared" si="13"/>
        <v>11.869</v>
      </c>
      <c r="AB64" s="47">
        <f t="shared" si="14"/>
        <v>0</v>
      </c>
      <c r="AC64" s="28"/>
      <c r="AD64" s="47">
        <f t="shared" si="15"/>
        <v>11.869</v>
      </c>
      <c r="AE64" s="47">
        <v>11.869</v>
      </c>
      <c r="AF64" s="74"/>
      <c r="AG64" s="75"/>
      <c r="AH64" s="81"/>
    </row>
    <row r="65" spans="1:34" s="77" customFormat="1" ht="38.25" customHeight="1">
      <c r="A65" s="26">
        <v>10</v>
      </c>
      <c r="B65" s="31" t="s">
        <v>134</v>
      </c>
      <c r="C65" s="32"/>
      <c r="D65" s="33"/>
      <c r="E65" s="33"/>
      <c r="F65" s="34" t="s">
        <v>144</v>
      </c>
      <c r="G65" s="47">
        <v>3500</v>
      </c>
      <c r="H65" s="47">
        <v>3482</v>
      </c>
      <c r="I65" s="47"/>
      <c r="J65" s="47"/>
      <c r="K65" s="47"/>
      <c r="L65" s="47"/>
      <c r="M65" s="47">
        <f t="shared" si="24"/>
        <v>1697.7</v>
      </c>
      <c r="N65" s="47">
        <v>1697.7</v>
      </c>
      <c r="O65" s="47">
        <f t="shared" si="4"/>
        <v>1259.918</v>
      </c>
      <c r="P65" s="47"/>
      <c r="Q65" s="47"/>
      <c r="R65" s="47">
        <f t="shared" si="25"/>
        <v>1259.918</v>
      </c>
      <c r="S65" s="47">
        <v>1259.918</v>
      </c>
      <c r="T65" s="47">
        <f t="shared" si="26"/>
        <v>1259.918</v>
      </c>
      <c r="U65" s="47">
        <v>1259.918</v>
      </c>
      <c r="V65" s="47">
        <f t="shared" si="27"/>
        <v>1312.523</v>
      </c>
      <c r="W65" s="47">
        <v>1312.523</v>
      </c>
      <c r="X65" s="47">
        <f t="shared" si="28"/>
        <v>2957.618</v>
      </c>
      <c r="Y65" s="47">
        <f t="shared" si="29"/>
        <v>2957.618</v>
      </c>
      <c r="Z65" s="47">
        <v>1259.9</v>
      </c>
      <c r="AA65" s="47">
        <f t="shared" si="13"/>
        <v>1259.918</v>
      </c>
      <c r="AB65" s="47">
        <f t="shared" si="14"/>
        <v>0</v>
      </c>
      <c r="AC65" s="28"/>
      <c r="AD65" s="47">
        <f t="shared" si="15"/>
        <v>1259.918</v>
      </c>
      <c r="AE65" s="47">
        <v>1259.918</v>
      </c>
      <c r="AF65" s="74"/>
      <c r="AG65" s="75"/>
      <c r="AH65" s="81"/>
    </row>
    <row r="66" spans="1:34" s="77" customFormat="1" ht="38.25" customHeight="1">
      <c r="A66" s="26">
        <v>11</v>
      </c>
      <c r="B66" s="31" t="s">
        <v>135</v>
      </c>
      <c r="C66" s="32"/>
      <c r="D66" s="33"/>
      <c r="E66" s="33"/>
      <c r="F66" s="34" t="s">
        <v>145</v>
      </c>
      <c r="G66" s="47">
        <v>4450</v>
      </c>
      <c r="H66" s="47">
        <v>4426.416539</v>
      </c>
      <c r="I66" s="47"/>
      <c r="J66" s="47"/>
      <c r="K66" s="47"/>
      <c r="L66" s="47"/>
      <c r="M66" s="47">
        <f t="shared" si="24"/>
        <v>3499</v>
      </c>
      <c r="N66" s="47">
        <v>3499</v>
      </c>
      <c r="O66" s="47">
        <f t="shared" si="4"/>
        <v>253.93</v>
      </c>
      <c r="P66" s="47"/>
      <c r="Q66" s="47"/>
      <c r="R66" s="47">
        <f t="shared" si="25"/>
        <v>253.93</v>
      </c>
      <c r="S66" s="47">
        <v>253.93</v>
      </c>
      <c r="T66" s="47">
        <f t="shared" si="26"/>
        <v>253.93</v>
      </c>
      <c r="U66" s="47">
        <v>253.93</v>
      </c>
      <c r="V66" s="47">
        <f t="shared" si="27"/>
        <v>464.265</v>
      </c>
      <c r="W66" s="47">
        <v>464.265</v>
      </c>
      <c r="X66" s="47">
        <f t="shared" si="28"/>
        <v>3752.93</v>
      </c>
      <c r="Y66" s="47">
        <f t="shared" si="29"/>
        <v>3752.93</v>
      </c>
      <c r="Z66" s="47">
        <v>253.9</v>
      </c>
      <c r="AA66" s="47">
        <f t="shared" si="13"/>
        <v>253.93</v>
      </c>
      <c r="AB66" s="47">
        <f t="shared" si="14"/>
        <v>0</v>
      </c>
      <c r="AC66" s="28"/>
      <c r="AD66" s="47">
        <f t="shared" si="15"/>
        <v>253.93</v>
      </c>
      <c r="AE66" s="47">
        <v>253.93</v>
      </c>
      <c r="AF66" s="74"/>
      <c r="AG66" s="75"/>
      <c r="AH66" s="81"/>
    </row>
    <row r="67" spans="1:34" s="77" customFormat="1" ht="38.25" customHeight="1">
      <c r="A67" s="26">
        <v>12</v>
      </c>
      <c r="B67" s="31" t="s">
        <v>136</v>
      </c>
      <c r="C67" s="32"/>
      <c r="D67" s="33"/>
      <c r="E67" s="33"/>
      <c r="F67" s="34" t="s">
        <v>146</v>
      </c>
      <c r="G67" s="47">
        <v>2000</v>
      </c>
      <c r="H67" s="47">
        <v>1990</v>
      </c>
      <c r="I67" s="47"/>
      <c r="J67" s="47"/>
      <c r="K67" s="47"/>
      <c r="L67" s="47"/>
      <c r="M67" s="47">
        <f t="shared" si="24"/>
        <v>1854.2</v>
      </c>
      <c r="N67" s="47">
        <v>1854.2</v>
      </c>
      <c r="O67" s="47">
        <f t="shared" si="4"/>
        <v>14.929</v>
      </c>
      <c r="P67" s="47"/>
      <c r="Q67" s="47"/>
      <c r="R67" s="47">
        <f t="shared" si="25"/>
        <v>14.929</v>
      </c>
      <c r="S67" s="47">
        <v>14.929</v>
      </c>
      <c r="T67" s="47">
        <f t="shared" si="26"/>
        <v>14.929</v>
      </c>
      <c r="U67" s="47">
        <v>14.929</v>
      </c>
      <c r="V67" s="47">
        <f t="shared" si="27"/>
        <v>43.31</v>
      </c>
      <c r="W67" s="47">
        <v>43.31</v>
      </c>
      <c r="X67" s="47">
        <f t="shared" si="28"/>
        <v>1869.1290000000001</v>
      </c>
      <c r="Y67" s="47">
        <f t="shared" si="29"/>
        <v>1869.1290000000001</v>
      </c>
      <c r="Z67" s="47">
        <v>14.9</v>
      </c>
      <c r="AA67" s="47">
        <f t="shared" si="13"/>
        <v>14.929</v>
      </c>
      <c r="AB67" s="47">
        <f t="shared" si="14"/>
        <v>0</v>
      </c>
      <c r="AC67" s="28"/>
      <c r="AD67" s="47">
        <f t="shared" si="15"/>
        <v>14.929</v>
      </c>
      <c r="AE67" s="47">
        <v>14.929</v>
      </c>
      <c r="AF67" s="74"/>
      <c r="AG67" s="75"/>
      <c r="AH67" s="81"/>
    </row>
    <row r="68" spans="1:34" s="77" customFormat="1" ht="38.25" customHeight="1">
      <c r="A68" s="26">
        <v>13</v>
      </c>
      <c r="B68" s="31" t="s">
        <v>137</v>
      </c>
      <c r="C68" s="32"/>
      <c r="D68" s="33"/>
      <c r="E68" s="33"/>
      <c r="F68" s="34" t="s">
        <v>147</v>
      </c>
      <c r="G68" s="47">
        <v>6330</v>
      </c>
      <c r="H68" s="47">
        <v>6295</v>
      </c>
      <c r="I68" s="47"/>
      <c r="J68" s="47"/>
      <c r="K68" s="47"/>
      <c r="L68" s="47"/>
      <c r="M68" s="47">
        <f t="shared" si="24"/>
        <v>3171</v>
      </c>
      <c r="N68" s="47">
        <v>3171</v>
      </c>
      <c r="O68" s="47">
        <f t="shared" si="4"/>
        <v>1673.837</v>
      </c>
      <c r="P68" s="47"/>
      <c r="Q68" s="47"/>
      <c r="R68" s="47">
        <f t="shared" si="25"/>
        <v>1673.837</v>
      </c>
      <c r="S68" s="47">
        <v>1673.837</v>
      </c>
      <c r="T68" s="47">
        <f t="shared" si="26"/>
        <v>1673.837</v>
      </c>
      <c r="U68" s="47">
        <v>1673.837</v>
      </c>
      <c r="V68" s="47">
        <f t="shared" si="27"/>
        <v>1822.573</v>
      </c>
      <c r="W68" s="47">
        <v>1822.573</v>
      </c>
      <c r="X68" s="47">
        <f t="shared" si="28"/>
        <v>4844.8369999999995</v>
      </c>
      <c r="Y68" s="47">
        <f t="shared" si="29"/>
        <v>4844.8369999999995</v>
      </c>
      <c r="Z68" s="47">
        <v>1673.8</v>
      </c>
      <c r="AA68" s="47">
        <f t="shared" si="13"/>
        <v>1673.837</v>
      </c>
      <c r="AB68" s="47">
        <f t="shared" si="14"/>
        <v>0</v>
      </c>
      <c r="AC68" s="28"/>
      <c r="AD68" s="47">
        <f t="shared" si="15"/>
        <v>1673.837</v>
      </c>
      <c r="AE68" s="47">
        <v>1673.837</v>
      </c>
      <c r="AF68" s="74"/>
      <c r="AG68" s="75"/>
      <c r="AH68" s="81"/>
    </row>
    <row r="69" spans="1:34" s="77" customFormat="1" ht="38.25" customHeight="1">
      <c r="A69" s="26">
        <v>14</v>
      </c>
      <c r="B69" s="31" t="s">
        <v>119</v>
      </c>
      <c r="C69" s="32"/>
      <c r="D69" s="33"/>
      <c r="E69" s="33"/>
      <c r="F69" s="34" t="s">
        <v>188</v>
      </c>
      <c r="G69" s="35">
        <v>12000</v>
      </c>
      <c r="H69" s="35">
        <v>12000</v>
      </c>
      <c r="I69" s="35">
        <v>10900</v>
      </c>
      <c r="J69" s="35">
        <v>5415</v>
      </c>
      <c r="K69" s="36"/>
      <c r="L69" s="37"/>
      <c r="M69" s="37"/>
      <c r="N69" s="37"/>
      <c r="O69" s="47">
        <f t="shared" si="4"/>
        <v>5415</v>
      </c>
      <c r="P69" s="35">
        <f>Q69</f>
        <v>5415</v>
      </c>
      <c r="Q69" s="35">
        <v>5415</v>
      </c>
      <c r="R69" s="36"/>
      <c r="S69" s="36"/>
      <c r="T69" s="35">
        <f>U69</f>
        <v>3130.795</v>
      </c>
      <c r="U69" s="35">
        <v>3130.795</v>
      </c>
      <c r="V69" s="35">
        <f>W69</f>
        <v>5415</v>
      </c>
      <c r="W69" s="35">
        <v>5415</v>
      </c>
      <c r="X69" s="37">
        <f>Y69</f>
        <v>5415</v>
      </c>
      <c r="Y69" s="37">
        <v>5415</v>
      </c>
      <c r="Z69" s="37">
        <v>4648</v>
      </c>
      <c r="AA69" s="47">
        <f t="shared" si="13"/>
        <v>4647.958</v>
      </c>
      <c r="AB69" s="47">
        <f t="shared" si="14"/>
        <v>4647.958</v>
      </c>
      <c r="AC69" s="28">
        <v>4647.958</v>
      </c>
      <c r="AD69" s="47">
        <f t="shared" si="15"/>
        <v>0</v>
      </c>
      <c r="AE69" s="47"/>
      <c r="AF69" s="39" t="s">
        <v>120</v>
      </c>
      <c r="AG69" s="75"/>
      <c r="AH69" s="81"/>
    </row>
    <row r="70" spans="1:34" s="77" customFormat="1" ht="38.25" customHeight="1">
      <c r="A70" s="26">
        <v>15</v>
      </c>
      <c r="B70" s="31" t="s">
        <v>208</v>
      </c>
      <c r="C70" s="32"/>
      <c r="D70" s="33"/>
      <c r="E70" s="33"/>
      <c r="F70" s="34"/>
      <c r="G70" s="84">
        <v>7500</v>
      </c>
      <c r="H70" s="84">
        <v>7500</v>
      </c>
      <c r="I70" s="47">
        <v>7500</v>
      </c>
      <c r="J70" s="47">
        <v>367</v>
      </c>
      <c r="K70" s="47"/>
      <c r="L70" s="47"/>
      <c r="M70" s="47"/>
      <c r="N70" s="47"/>
      <c r="O70" s="47">
        <f>P70+R70</f>
        <v>1930</v>
      </c>
      <c r="P70" s="47">
        <f>Q70</f>
        <v>1930</v>
      </c>
      <c r="Q70" s="47">
        <v>1930</v>
      </c>
      <c r="R70" s="47"/>
      <c r="S70" s="47"/>
      <c r="T70" s="47"/>
      <c r="U70" s="47"/>
      <c r="V70" s="47">
        <f>W70</f>
        <v>367</v>
      </c>
      <c r="W70" s="47">
        <v>367</v>
      </c>
      <c r="X70" s="47">
        <f>Y70</f>
        <v>1930</v>
      </c>
      <c r="Y70" s="47">
        <v>1930</v>
      </c>
      <c r="Z70" s="47">
        <v>367</v>
      </c>
      <c r="AA70" s="47">
        <f>AB70+AD70</f>
        <v>1929.7</v>
      </c>
      <c r="AB70" s="47">
        <f>AC70</f>
        <v>1929.7</v>
      </c>
      <c r="AC70" s="47">
        <v>1929.7</v>
      </c>
      <c r="AD70" s="47"/>
      <c r="AE70" s="47"/>
      <c r="AF70" s="39"/>
      <c r="AG70" s="75"/>
      <c r="AH70" s="81"/>
    </row>
    <row r="71" spans="1:34" s="77" customFormat="1" ht="38.25" customHeight="1">
      <c r="A71" s="26">
        <v>16</v>
      </c>
      <c r="B71" s="31" t="s">
        <v>123</v>
      </c>
      <c r="C71" s="32"/>
      <c r="D71" s="33"/>
      <c r="E71" s="33"/>
      <c r="F71" s="33" t="s">
        <v>187</v>
      </c>
      <c r="G71" s="47">
        <v>4500</v>
      </c>
      <c r="H71" s="47">
        <v>4500</v>
      </c>
      <c r="I71" s="47"/>
      <c r="J71" s="47"/>
      <c r="K71" s="47"/>
      <c r="L71" s="47"/>
      <c r="M71" s="47"/>
      <c r="N71" s="47"/>
      <c r="O71" s="47">
        <f t="shared" si="4"/>
        <v>4106.4</v>
      </c>
      <c r="P71" s="47"/>
      <c r="Q71" s="47"/>
      <c r="R71" s="47">
        <f>S71</f>
        <v>4106.4</v>
      </c>
      <c r="S71" s="47">
        <v>4106.4</v>
      </c>
      <c r="T71" s="47">
        <f>U71</f>
        <v>3580.046</v>
      </c>
      <c r="U71" s="47">
        <v>3580.046</v>
      </c>
      <c r="V71" s="47">
        <f>W71</f>
        <v>4106.4</v>
      </c>
      <c r="W71" s="47">
        <v>4106.4</v>
      </c>
      <c r="X71" s="47">
        <f>Y71</f>
        <v>4106.4</v>
      </c>
      <c r="Y71" s="47">
        <v>4106.4</v>
      </c>
      <c r="Z71" s="47">
        <v>3580</v>
      </c>
      <c r="AA71" s="47">
        <f t="shared" si="13"/>
        <v>3580.046</v>
      </c>
      <c r="AB71" s="47">
        <f t="shared" si="14"/>
        <v>0</v>
      </c>
      <c r="AC71" s="47"/>
      <c r="AD71" s="47">
        <f t="shared" si="15"/>
        <v>3580.046</v>
      </c>
      <c r="AE71" s="47">
        <v>3580.046</v>
      </c>
      <c r="AF71" s="78" t="s">
        <v>124</v>
      </c>
      <c r="AG71" s="75"/>
      <c r="AH71" s="81"/>
    </row>
    <row r="72" spans="1:34" s="77" customFormat="1" ht="45" customHeight="1">
      <c r="A72" s="26">
        <v>17</v>
      </c>
      <c r="B72" s="31" t="s">
        <v>175</v>
      </c>
      <c r="C72" s="32"/>
      <c r="D72" s="33"/>
      <c r="E72" s="33"/>
      <c r="F72" s="33"/>
      <c r="G72" s="47"/>
      <c r="H72" s="47"/>
      <c r="I72" s="47"/>
      <c r="J72" s="47"/>
      <c r="K72" s="47"/>
      <c r="L72" s="47"/>
      <c r="M72" s="47"/>
      <c r="N72" s="47"/>
      <c r="O72" s="47">
        <f t="shared" si="4"/>
        <v>13.653</v>
      </c>
      <c r="P72" s="47"/>
      <c r="Q72" s="47"/>
      <c r="R72" s="47">
        <v>13.653</v>
      </c>
      <c r="S72" s="47">
        <v>13.653</v>
      </c>
      <c r="T72" s="47"/>
      <c r="U72" s="47"/>
      <c r="V72" s="47">
        <f>W72</f>
        <v>13.653</v>
      </c>
      <c r="W72" s="47">
        <f>S72</f>
        <v>13.653</v>
      </c>
      <c r="X72" s="47"/>
      <c r="Y72" s="47"/>
      <c r="Z72" s="47"/>
      <c r="AA72" s="47">
        <f t="shared" si="13"/>
        <v>0</v>
      </c>
      <c r="AB72" s="47">
        <f t="shared" si="14"/>
        <v>0</v>
      </c>
      <c r="AC72" s="47"/>
      <c r="AD72" s="47">
        <f t="shared" si="15"/>
        <v>0</v>
      </c>
      <c r="AE72" s="47"/>
      <c r="AF72" s="78" t="s">
        <v>215</v>
      </c>
      <c r="AG72" s="75"/>
      <c r="AH72" s="85"/>
    </row>
    <row r="73" spans="7:31" ht="15.75"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  <c r="AE73" s="58"/>
    </row>
    <row r="74" spans="7:31" ht="15.75"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8" t="s">
        <v>121</v>
      </c>
      <c r="X74" s="57"/>
      <c r="Y74" s="9"/>
      <c r="Z74" s="9"/>
      <c r="AA74" s="9"/>
      <c r="AB74" s="9"/>
      <c r="AC74" s="9"/>
      <c r="AD74" s="10"/>
      <c r="AE74" s="58"/>
    </row>
    <row r="75" spans="23:30" ht="15.75">
      <c r="W75" s="3" t="s">
        <v>14</v>
      </c>
      <c r="Y75" s="11"/>
      <c r="Z75" s="11"/>
      <c r="AA75" s="11"/>
      <c r="AB75" s="11"/>
      <c r="AC75" s="11"/>
      <c r="AD75" s="12"/>
    </row>
    <row r="76" spans="23:30" ht="15.75">
      <c r="W76" s="3"/>
      <c r="Y76" s="11"/>
      <c r="Z76" s="11"/>
      <c r="AA76" s="11"/>
      <c r="AB76" s="11"/>
      <c r="AC76" s="11"/>
      <c r="AD76" s="12"/>
    </row>
  </sheetData>
  <sheetProtection/>
  <mergeCells count="50">
    <mergeCell ref="AE4:AF4"/>
    <mergeCell ref="Z5:Z9"/>
    <mergeCell ref="AD7:AE7"/>
    <mergeCell ref="AB8:AB9"/>
    <mergeCell ref="AC8:AC9"/>
    <mergeCell ref="F5:H5"/>
    <mergeCell ref="P8:P9"/>
    <mergeCell ref="F6:F9"/>
    <mergeCell ref="I5:L6"/>
    <mergeCell ref="AA5:AE5"/>
    <mergeCell ref="AF5:AF9"/>
    <mergeCell ref="N6:N9"/>
    <mergeCell ref="O6:O9"/>
    <mergeCell ref="AB6:AE6"/>
    <mergeCell ref="V8:V9"/>
    <mergeCell ref="U8:U9"/>
    <mergeCell ref="AD8:AD9"/>
    <mergeCell ref="O5:W5"/>
    <mergeCell ref="P6:S6"/>
    <mergeCell ref="P7:Q7"/>
    <mergeCell ref="J7:L7"/>
    <mergeCell ref="AB7:AC7"/>
    <mergeCell ref="K8:L8"/>
    <mergeCell ref="I7:I9"/>
    <mergeCell ref="T6:U7"/>
    <mergeCell ref="T8:T9"/>
    <mergeCell ref="M6:M9"/>
    <mergeCell ref="R7:S7"/>
    <mergeCell ref="S8:S9"/>
    <mergeCell ref="V6:W7"/>
    <mergeCell ref="Q8:Q9"/>
    <mergeCell ref="AA6:AA9"/>
    <mergeCell ref="B5:B9"/>
    <mergeCell ref="AE8:AE9"/>
    <mergeCell ref="C5:C9"/>
    <mergeCell ref="H7:H9"/>
    <mergeCell ref="D5:D9"/>
    <mergeCell ref="X8:X9"/>
    <mergeCell ref="J8:J9"/>
    <mergeCell ref="R8:R9"/>
    <mergeCell ref="W8:W9"/>
    <mergeCell ref="X5:Y7"/>
    <mergeCell ref="A2:AF2"/>
    <mergeCell ref="E5:E9"/>
    <mergeCell ref="A5:A9"/>
    <mergeCell ref="M5:N5"/>
    <mergeCell ref="Y8:Y9"/>
    <mergeCell ref="A3:AF3"/>
    <mergeCell ref="G6:H6"/>
    <mergeCell ref="G7:G9"/>
  </mergeCells>
  <printOptions horizontalCentered="1"/>
  <pageMargins left="0.1968503937007874" right="0.1968503937007874" top="0.6299212598425197" bottom="0.5118110236220472" header="0.1968503937007874" footer="0.1968503937007874"/>
  <pageSetup fitToHeight="100" fitToWidth="100" horizontalDpi="600" verticalDpi="600" orientation="landscape" paperSize="9" scale="68" r:id="rId1"/>
  <rowBreaks count="1" manualBreakCount="1">
    <brk id="40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tabSelected="1" view="pageBreakPreview" zoomScale="85" zoomScaleSheetLayoutView="85" zoomScalePageLayoutView="0" workbookViewId="0" topLeftCell="A21">
      <selection activeCell="AC14" sqref="AC14"/>
    </sheetView>
  </sheetViews>
  <sheetFormatPr defaultColWidth="9.33203125" defaultRowHeight="12.75"/>
  <cols>
    <col min="1" max="1" width="5" style="13" customWidth="1"/>
    <col min="2" max="2" width="36.83203125" style="13" customWidth="1"/>
    <col min="3" max="3" width="6.83203125" style="13" hidden="1" customWidth="1"/>
    <col min="4" max="4" width="3.16015625" style="13" hidden="1" customWidth="1"/>
    <col min="5" max="5" width="7.83203125" style="13" hidden="1" customWidth="1"/>
    <col min="6" max="6" width="14.5" style="13" customWidth="1"/>
    <col min="7" max="7" width="11.83203125" style="13" customWidth="1"/>
    <col min="8" max="8" width="11.5" style="13" customWidth="1"/>
    <col min="9" max="10" width="9.83203125" style="13" hidden="1" customWidth="1"/>
    <col min="11" max="11" width="5.66015625" style="13" hidden="1" customWidth="1"/>
    <col min="12" max="12" width="6.16015625" style="13" hidden="1" customWidth="1"/>
    <col min="13" max="13" width="10.5" style="13" hidden="1" customWidth="1"/>
    <col min="14" max="14" width="9.5" style="13" hidden="1" customWidth="1"/>
    <col min="15" max="15" width="10.83203125" style="13" customWidth="1"/>
    <col min="16" max="16" width="12.16015625" style="13" customWidth="1"/>
    <col min="17" max="17" width="11.5" style="13" customWidth="1"/>
    <col min="18" max="18" width="9.66015625" style="13" customWidth="1"/>
    <col min="19" max="19" width="9.5" style="13" customWidth="1"/>
    <col min="20" max="20" width="10.33203125" style="13" hidden="1" customWidth="1"/>
    <col min="21" max="21" width="9.83203125" style="13" hidden="1" customWidth="1"/>
    <col min="22" max="22" width="10.16015625" style="13" hidden="1" customWidth="1"/>
    <col min="23" max="23" width="9.83203125" style="13" hidden="1" customWidth="1"/>
    <col min="24" max="24" width="10.66015625" style="13" hidden="1" customWidth="1"/>
    <col min="25" max="25" width="10.16015625" style="13" hidden="1" customWidth="1"/>
    <col min="26" max="26" width="14.16015625" style="13" customWidth="1"/>
    <col min="27" max="27" width="11.5" style="13" customWidth="1"/>
    <col min="28" max="29" width="11.83203125" style="13" customWidth="1"/>
    <col min="30" max="30" width="12.5" style="14" customWidth="1"/>
    <col min="31" max="31" width="11.16015625" style="14" customWidth="1"/>
    <col min="32" max="32" width="18.66015625" style="13" customWidth="1"/>
    <col min="33" max="33" width="30.66015625" style="13" customWidth="1"/>
    <col min="34" max="34" width="18.5" style="13" customWidth="1"/>
    <col min="35" max="35" width="18" style="13" customWidth="1"/>
    <col min="36" max="36" width="54" style="13" customWidth="1"/>
    <col min="37" max="16384" width="9.33203125" style="13" customWidth="1"/>
  </cols>
  <sheetData>
    <row r="1" spans="1:33" ht="21" customHeight="1">
      <c r="A1" s="2" t="s">
        <v>191</v>
      </c>
      <c r="AD1" s="1" t="s">
        <v>13</v>
      </c>
      <c r="AF1" s="3"/>
      <c r="AG1" s="3"/>
    </row>
    <row r="2" spans="1:33" ht="20.25" customHeight="1">
      <c r="A2" s="88" t="s">
        <v>204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3"/>
    </row>
    <row r="3" spans="1:33" ht="14.25" customHeight="1">
      <c r="A3" s="89" t="str">
        <f>'BC CTMTQG'!A3:AF3</f>
        <v>(Kèm theo Báo cáo số            /BC-UBND ngày  18 tháng 3 năm 2021 của UBND huyện Tuần Giáo)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15"/>
    </row>
    <row r="4" spans="32:33" ht="18" customHeight="1">
      <c r="AF4" s="16"/>
      <c r="AG4" s="17"/>
    </row>
    <row r="5" spans="1:33" ht="66.75" customHeight="1">
      <c r="A5" s="87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87" t="s">
        <v>5</v>
      </c>
      <c r="G5" s="87"/>
      <c r="H5" s="87"/>
      <c r="I5" s="87" t="s">
        <v>38</v>
      </c>
      <c r="J5" s="87"/>
      <c r="K5" s="87"/>
      <c r="L5" s="87"/>
      <c r="M5" s="87" t="s">
        <v>76</v>
      </c>
      <c r="N5" s="87"/>
      <c r="O5" s="93" t="s">
        <v>75</v>
      </c>
      <c r="P5" s="98"/>
      <c r="Q5" s="98"/>
      <c r="R5" s="98"/>
      <c r="S5" s="98"/>
      <c r="T5" s="98"/>
      <c r="U5" s="98"/>
      <c r="V5" s="98"/>
      <c r="W5" s="94"/>
      <c r="X5" s="87" t="s">
        <v>203</v>
      </c>
      <c r="Y5" s="87"/>
      <c r="Z5" s="90" t="s">
        <v>214</v>
      </c>
      <c r="AA5" s="103" t="s">
        <v>202</v>
      </c>
      <c r="AB5" s="104"/>
      <c r="AC5" s="104"/>
      <c r="AD5" s="104"/>
      <c r="AE5" s="105"/>
      <c r="AF5" s="87" t="s">
        <v>6</v>
      </c>
      <c r="AG5" s="4"/>
    </row>
    <row r="6" spans="1:33" ht="30" customHeight="1">
      <c r="A6" s="87"/>
      <c r="B6" s="87"/>
      <c r="C6" s="87"/>
      <c r="D6" s="87"/>
      <c r="E6" s="87"/>
      <c r="F6" s="87" t="s">
        <v>8</v>
      </c>
      <c r="G6" s="87" t="s">
        <v>15</v>
      </c>
      <c r="H6" s="87"/>
      <c r="I6" s="87"/>
      <c r="J6" s="87"/>
      <c r="K6" s="87"/>
      <c r="L6" s="87"/>
      <c r="M6" s="87" t="s">
        <v>7</v>
      </c>
      <c r="N6" s="87" t="s">
        <v>199</v>
      </c>
      <c r="O6" s="90" t="s">
        <v>12</v>
      </c>
      <c r="P6" s="99" t="s">
        <v>190</v>
      </c>
      <c r="Q6" s="100"/>
      <c r="R6" s="100"/>
      <c r="S6" s="101"/>
      <c r="T6" s="87" t="s">
        <v>125</v>
      </c>
      <c r="U6" s="87"/>
      <c r="V6" s="87" t="s">
        <v>184</v>
      </c>
      <c r="W6" s="87"/>
      <c r="X6" s="87"/>
      <c r="Y6" s="87"/>
      <c r="Z6" s="91"/>
      <c r="AA6" s="90" t="s">
        <v>12</v>
      </c>
      <c r="AB6" s="99" t="s">
        <v>190</v>
      </c>
      <c r="AC6" s="100"/>
      <c r="AD6" s="100"/>
      <c r="AE6" s="101"/>
      <c r="AF6" s="87"/>
      <c r="AG6" s="4"/>
    </row>
    <row r="7" spans="1:33" ht="49.5" customHeight="1">
      <c r="A7" s="87"/>
      <c r="B7" s="87"/>
      <c r="C7" s="87"/>
      <c r="D7" s="87"/>
      <c r="E7" s="87"/>
      <c r="F7" s="87"/>
      <c r="G7" s="87" t="s">
        <v>7</v>
      </c>
      <c r="H7" s="87" t="s">
        <v>198</v>
      </c>
      <c r="I7" s="87" t="s">
        <v>7</v>
      </c>
      <c r="J7" s="87" t="s">
        <v>198</v>
      </c>
      <c r="K7" s="87"/>
      <c r="L7" s="87"/>
      <c r="M7" s="87"/>
      <c r="N7" s="87"/>
      <c r="O7" s="91"/>
      <c r="P7" s="93" t="s">
        <v>185</v>
      </c>
      <c r="Q7" s="94"/>
      <c r="R7" s="93" t="s">
        <v>186</v>
      </c>
      <c r="S7" s="94"/>
      <c r="T7" s="87"/>
      <c r="U7" s="87"/>
      <c r="V7" s="87"/>
      <c r="W7" s="87"/>
      <c r="X7" s="87"/>
      <c r="Y7" s="87"/>
      <c r="Z7" s="91"/>
      <c r="AA7" s="91"/>
      <c r="AB7" s="93" t="s">
        <v>185</v>
      </c>
      <c r="AC7" s="94"/>
      <c r="AD7" s="93" t="s">
        <v>186</v>
      </c>
      <c r="AE7" s="94"/>
      <c r="AF7" s="87"/>
      <c r="AG7" s="4"/>
    </row>
    <row r="8" spans="1:33" ht="27" customHeight="1">
      <c r="A8" s="87"/>
      <c r="B8" s="87"/>
      <c r="C8" s="87"/>
      <c r="D8" s="87"/>
      <c r="E8" s="87"/>
      <c r="F8" s="87"/>
      <c r="G8" s="87"/>
      <c r="H8" s="87"/>
      <c r="I8" s="87"/>
      <c r="J8" s="87" t="s">
        <v>12</v>
      </c>
      <c r="K8" s="87" t="s">
        <v>198</v>
      </c>
      <c r="L8" s="87"/>
      <c r="M8" s="87"/>
      <c r="N8" s="87"/>
      <c r="O8" s="91"/>
      <c r="P8" s="87" t="s">
        <v>7</v>
      </c>
      <c r="Q8" s="87" t="s">
        <v>198</v>
      </c>
      <c r="R8" s="87" t="s">
        <v>7</v>
      </c>
      <c r="S8" s="87" t="s">
        <v>198</v>
      </c>
      <c r="T8" s="87" t="s">
        <v>7</v>
      </c>
      <c r="U8" s="87" t="s">
        <v>198</v>
      </c>
      <c r="V8" s="87" t="s">
        <v>7</v>
      </c>
      <c r="W8" s="87" t="s">
        <v>198</v>
      </c>
      <c r="X8" s="87" t="s">
        <v>7</v>
      </c>
      <c r="Y8" s="87" t="s">
        <v>198</v>
      </c>
      <c r="Z8" s="91"/>
      <c r="AA8" s="91"/>
      <c r="AB8" s="87" t="s">
        <v>7</v>
      </c>
      <c r="AC8" s="87" t="s">
        <v>198</v>
      </c>
      <c r="AD8" s="87" t="s">
        <v>7</v>
      </c>
      <c r="AE8" s="87" t="s">
        <v>198</v>
      </c>
      <c r="AF8" s="87"/>
      <c r="AG8" s="4"/>
    </row>
    <row r="9" spans="1:33" ht="66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6" t="s">
        <v>18</v>
      </c>
      <c r="L9" s="6" t="s">
        <v>19</v>
      </c>
      <c r="M9" s="87"/>
      <c r="N9" s="87"/>
      <c r="O9" s="92"/>
      <c r="P9" s="87"/>
      <c r="Q9" s="87"/>
      <c r="R9" s="87"/>
      <c r="S9" s="87"/>
      <c r="T9" s="87"/>
      <c r="U9" s="87"/>
      <c r="V9" s="87"/>
      <c r="W9" s="87"/>
      <c r="X9" s="87"/>
      <c r="Y9" s="87"/>
      <c r="Z9" s="92"/>
      <c r="AA9" s="92"/>
      <c r="AB9" s="87"/>
      <c r="AC9" s="87"/>
      <c r="AD9" s="87"/>
      <c r="AE9" s="87"/>
      <c r="AF9" s="87"/>
      <c r="AG9" s="4"/>
    </row>
    <row r="10" spans="1:33" ht="29.2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3</v>
      </c>
      <c r="G10" s="18">
        <v>4</v>
      </c>
      <c r="H10" s="18">
        <v>5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6</v>
      </c>
      <c r="P10" s="18">
        <v>7</v>
      </c>
      <c r="Q10" s="18">
        <v>8</v>
      </c>
      <c r="R10" s="18">
        <v>9</v>
      </c>
      <c r="S10" s="18">
        <v>10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11</v>
      </c>
      <c r="AA10" s="18">
        <v>12</v>
      </c>
      <c r="AB10" s="18">
        <v>13</v>
      </c>
      <c r="AC10" s="18">
        <v>14</v>
      </c>
      <c r="AD10" s="18">
        <v>15</v>
      </c>
      <c r="AE10" s="18">
        <v>16</v>
      </c>
      <c r="AF10" s="18">
        <v>17</v>
      </c>
      <c r="AG10" s="19"/>
    </row>
    <row r="11" spans="1:34" s="24" customFormat="1" ht="22.5" customHeight="1">
      <c r="A11" s="7"/>
      <c r="B11" s="7" t="s">
        <v>197</v>
      </c>
      <c r="C11" s="7"/>
      <c r="D11" s="7"/>
      <c r="E11" s="7"/>
      <c r="F11" s="7"/>
      <c r="G11" s="20">
        <f aca="true" t="shared" si="0" ref="G11:S11">G12+G23</f>
        <v>72749.88500000001</v>
      </c>
      <c r="H11" s="20">
        <f t="shared" si="0"/>
        <v>72749.88500000001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37180</v>
      </c>
      <c r="N11" s="20">
        <f t="shared" si="0"/>
        <v>37180</v>
      </c>
      <c r="O11" s="21">
        <f t="shared" si="0"/>
        <v>25642.38</v>
      </c>
      <c r="P11" s="21">
        <f t="shared" si="0"/>
        <v>23299.7</v>
      </c>
      <c r="Q11" s="21">
        <f t="shared" si="0"/>
        <v>23181.7</v>
      </c>
      <c r="R11" s="21">
        <f t="shared" si="0"/>
        <v>2342.68</v>
      </c>
      <c r="S11" s="21">
        <f t="shared" si="0"/>
        <v>2342.68</v>
      </c>
      <c r="T11" s="21">
        <f aca="true" t="shared" si="1" ref="T11:Z11">T12+T23</f>
        <v>20182.624</v>
      </c>
      <c r="U11" s="21">
        <f t="shared" si="1"/>
        <v>20182.624</v>
      </c>
      <c r="V11" s="21">
        <f t="shared" si="1"/>
        <v>23360</v>
      </c>
      <c r="W11" s="21">
        <f t="shared" si="1"/>
        <v>23360</v>
      </c>
      <c r="X11" s="21">
        <f t="shared" si="1"/>
        <v>60540</v>
      </c>
      <c r="Y11" s="21">
        <f t="shared" si="1"/>
        <v>60540</v>
      </c>
      <c r="Z11" s="21">
        <f t="shared" si="1"/>
        <v>24233.699999999997</v>
      </c>
      <c r="AA11" s="21">
        <f>AA12+AA23</f>
        <v>24233.703</v>
      </c>
      <c r="AB11" s="21">
        <f>AB12+AB23</f>
        <v>22024.035000000003</v>
      </c>
      <c r="AC11" s="21">
        <f>AC12+AC23</f>
        <v>22024.035000000003</v>
      </c>
      <c r="AD11" s="21">
        <f>AD12+AD23</f>
        <v>2209.668</v>
      </c>
      <c r="AE11" s="21">
        <f>AE12+AE23</f>
        <v>2209.668</v>
      </c>
      <c r="AF11" s="21"/>
      <c r="AG11" s="22"/>
      <c r="AH11" s="23"/>
    </row>
    <row r="12" spans="1:33" s="30" customFormat="1" ht="59.25" customHeight="1">
      <c r="A12" s="7" t="s">
        <v>9</v>
      </c>
      <c r="B12" s="5" t="s">
        <v>152</v>
      </c>
      <c r="C12" s="25"/>
      <c r="D12" s="25"/>
      <c r="E12" s="25"/>
      <c r="F12" s="26"/>
      <c r="G12" s="27">
        <f>SUM(G13:G20)</f>
        <v>65749.88500000001</v>
      </c>
      <c r="H12" s="27">
        <f aca="true" t="shared" si="2" ref="H12:AE12">SUM(H13:H20)</f>
        <v>65749.88500000001</v>
      </c>
      <c r="I12" s="27">
        <f t="shared" si="2"/>
        <v>0</v>
      </c>
      <c r="J12" s="27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35180</v>
      </c>
      <c r="N12" s="27">
        <f t="shared" si="2"/>
        <v>35180</v>
      </c>
      <c r="O12" s="43">
        <f t="shared" si="2"/>
        <v>21122.68</v>
      </c>
      <c r="P12" s="43">
        <f t="shared" si="2"/>
        <v>18780</v>
      </c>
      <c r="Q12" s="43">
        <f t="shared" si="2"/>
        <v>18662</v>
      </c>
      <c r="R12" s="43">
        <f t="shared" si="2"/>
        <v>2342.68</v>
      </c>
      <c r="S12" s="43">
        <f t="shared" si="2"/>
        <v>2342.68</v>
      </c>
      <c r="T12" s="43">
        <f aca="true" t="shared" si="3" ref="T12:Z12">SUM(T13:T20)</f>
        <v>16199.953</v>
      </c>
      <c r="U12" s="43">
        <f t="shared" si="3"/>
        <v>16199.953</v>
      </c>
      <c r="V12" s="43">
        <f t="shared" si="3"/>
        <v>18780</v>
      </c>
      <c r="W12" s="43">
        <f t="shared" si="3"/>
        <v>18780</v>
      </c>
      <c r="X12" s="43">
        <f t="shared" si="3"/>
        <v>53960</v>
      </c>
      <c r="Y12" s="43">
        <f t="shared" si="3"/>
        <v>53960</v>
      </c>
      <c r="Z12" s="43">
        <f t="shared" si="3"/>
        <v>19951.399999999998</v>
      </c>
      <c r="AA12" s="43">
        <f t="shared" si="2"/>
        <v>19951.393</v>
      </c>
      <c r="AB12" s="43">
        <f t="shared" si="2"/>
        <v>17741.725000000002</v>
      </c>
      <c r="AC12" s="43">
        <f t="shared" si="2"/>
        <v>17741.725000000002</v>
      </c>
      <c r="AD12" s="43">
        <f t="shared" si="2"/>
        <v>2209.668</v>
      </c>
      <c r="AE12" s="43">
        <f t="shared" si="2"/>
        <v>2209.668</v>
      </c>
      <c r="AF12" s="28"/>
      <c r="AG12" s="29"/>
    </row>
    <row r="13" spans="1:33" s="30" customFormat="1" ht="42" customHeight="1">
      <c r="A13" s="26">
        <v>1</v>
      </c>
      <c r="B13" s="31" t="s">
        <v>153</v>
      </c>
      <c r="C13" s="32"/>
      <c r="D13" s="33"/>
      <c r="E13" s="33"/>
      <c r="F13" s="34" t="s">
        <v>158</v>
      </c>
      <c r="G13" s="35">
        <v>7500</v>
      </c>
      <c r="H13" s="35">
        <v>7500</v>
      </c>
      <c r="I13" s="35"/>
      <c r="J13" s="35"/>
      <c r="K13" s="36"/>
      <c r="L13" s="37"/>
      <c r="M13" s="35">
        <v>6996</v>
      </c>
      <c r="N13" s="35">
        <v>6996</v>
      </c>
      <c r="O13" s="47">
        <f>P13+R13</f>
        <v>409.433</v>
      </c>
      <c r="P13" s="47">
        <v>368</v>
      </c>
      <c r="Q13" s="47">
        <v>368</v>
      </c>
      <c r="R13" s="59">
        <f>S13</f>
        <v>41.433</v>
      </c>
      <c r="S13" s="59">
        <v>41.433</v>
      </c>
      <c r="T13" s="47"/>
      <c r="U13" s="47"/>
      <c r="V13" s="47">
        <v>368</v>
      </c>
      <c r="W13" s="47">
        <v>368</v>
      </c>
      <c r="X13" s="28">
        <v>7364</v>
      </c>
      <c r="Y13" s="28">
        <v>7364</v>
      </c>
      <c r="Z13" s="28">
        <v>408.9</v>
      </c>
      <c r="AA13" s="28">
        <f>AB13+AD13</f>
        <v>408.933</v>
      </c>
      <c r="AB13" s="28">
        <f aca="true" t="shared" si="4" ref="AB13:AB18">AC13</f>
        <v>367.5</v>
      </c>
      <c r="AC13" s="28">
        <v>367.5</v>
      </c>
      <c r="AD13" s="60">
        <f>AE13</f>
        <v>41.433</v>
      </c>
      <c r="AE13" s="60">
        <f>S13</f>
        <v>41.433</v>
      </c>
      <c r="AF13" s="39"/>
      <c r="AG13" s="40"/>
    </row>
    <row r="14" spans="1:33" s="30" customFormat="1" ht="42" customHeight="1">
      <c r="A14" s="26">
        <v>2</v>
      </c>
      <c r="B14" s="31" t="s">
        <v>154</v>
      </c>
      <c r="C14" s="41"/>
      <c r="D14" s="42"/>
      <c r="E14" s="42"/>
      <c r="F14" s="34" t="s">
        <v>159</v>
      </c>
      <c r="G14" s="35">
        <v>7300</v>
      </c>
      <c r="H14" s="35">
        <v>7300</v>
      </c>
      <c r="I14" s="35"/>
      <c r="J14" s="35"/>
      <c r="K14" s="36"/>
      <c r="L14" s="37"/>
      <c r="M14" s="35">
        <v>6092</v>
      </c>
      <c r="N14" s="35">
        <v>6092</v>
      </c>
      <c r="O14" s="47">
        <f aca="true" t="shared" si="5" ref="O14:O24">P14+R14</f>
        <v>479</v>
      </c>
      <c r="P14" s="47">
        <v>479</v>
      </c>
      <c r="Q14" s="47">
        <v>479</v>
      </c>
      <c r="R14" s="59"/>
      <c r="S14" s="59"/>
      <c r="T14" s="47">
        <v>390.973</v>
      </c>
      <c r="U14" s="47">
        <v>390.973</v>
      </c>
      <c r="V14" s="47">
        <v>479</v>
      </c>
      <c r="W14" s="47">
        <v>479</v>
      </c>
      <c r="X14" s="28">
        <v>6571</v>
      </c>
      <c r="Y14" s="28">
        <v>6571</v>
      </c>
      <c r="Z14" s="28">
        <v>391</v>
      </c>
      <c r="AA14" s="28">
        <f aca="true" t="shared" si="6" ref="AA14:AA24">AB14+AD14</f>
        <v>390.973</v>
      </c>
      <c r="AB14" s="28">
        <f t="shared" si="4"/>
        <v>390.973</v>
      </c>
      <c r="AC14" s="28">
        <v>390.973</v>
      </c>
      <c r="AD14" s="60"/>
      <c r="AE14" s="60"/>
      <c r="AF14" s="39"/>
      <c r="AG14" s="40"/>
    </row>
    <row r="15" spans="1:33" s="30" customFormat="1" ht="42" customHeight="1">
      <c r="A15" s="26">
        <v>3</v>
      </c>
      <c r="B15" s="31" t="s">
        <v>155</v>
      </c>
      <c r="C15" s="41"/>
      <c r="D15" s="42"/>
      <c r="E15" s="42"/>
      <c r="F15" s="34" t="s">
        <v>160</v>
      </c>
      <c r="G15" s="35">
        <v>6500</v>
      </c>
      <c r="H15" s="35">
        <v>6500</v>
      </c>
      <c r="I15" s="35"/>
      <c r="J15" s="35"/>
      <c r="K15" s="36"/>
      <c r="L15" s="37"/>
      <c r="M15" s="35">
        <f>3000</f>
        <v>3000</v>
      </c>
      <c r="N15" s="35">
        <f>3000</f>
        <v>3000</v>
      </c>
      <c r="O15" s="47">
        <f t="shared" si="5"/>
        <v>2901</v>
      </c>
      <c r="P15" s="47">
        <v>2901</v>
      </c>
      <c r="Q15" s="47">
        <v>2860</v>
      </c>
      <c r="R15" s="59"/>
      <c r="S15" s="59"/>
      <c r="T15" s="47">
        <v>2642.732</v>
      </c>
      <c r="U15" s="47">
        <v>2642.732</v>
      </c>
      <c r="V15" s="47">
        <v>2901</v>
      </c>
      <c r="W15" s="47">
        <v>2901</v>
      </c>
      <c r="X15" s="28">
        <v>5901</v>
      </c>
      <c r="Y15" s="28">
        <v>5901</v>
      </c>
      <c r="Z15" s="28">
        <v>2637.5</v>
      </c>
      <c r="AA15" s="28">
        <f t="shared" si="6"/>
        <v>2637.522</v>
      </c>
      <c r="AB15" s="28">
        <f t="shared" si="4"/>
        <v>2637.522</v>
      </c>
      <c r="AC15" s="28">
        <v>2637.522</v>
      </c>
      <c r="AD15" s="60"/>
      <c r="AE15" s="60"/>
      <c r="AF15" s="39"/>
      <c r="AG15" s="40"/>
    </row>
    <row r="16" spans="1:33" s="30" customFormat="1" ht="42" customHeight="1">
      <c r="A16" s="26">
        <v>4</v>
      </c>
      <c r="B16" s="31" t="s">
        <v>156</v>
      </c>
      <c r="C16" s="41"/>
      <c r="D16" s="42"/>
      <c r="E16" s="42"/>
      <c r="F16" s="34" t="s">
        <v>161</v>
      </c>
      <c r="G16" s="35">
        <v>8000</v>
      </c>
      <c r="H16" s="35">
        <v>8000</v>
      </c>
      <c r="I16" s="35"/>
      <c r="J16" s="35"/>
      <c r="K16" s="36"/>
      <c r="L16" s="37"/>
      <c r="M16" s="35">
        <f>3134</f>
        <v>3134</v>
      </c>
      <c r="N16" s="35">
        <f>3134</f>
        <v>3134</v>
      </c>
      <c r="O16" s="47">
        <f t="shared" si="5"/>
        <v>4553</v>
      </c>
      <c r="P16" s="47">
        <v>4553</v>
      </c>
      <c r="Q16" s="47">
        <v>4495</v>
      </c>
      <c r="R16" s="59"/>
      <c r="S16" s="59"/>
      <c r="T16" s="47">
        <v>4409.868</v>
      </c>
      <c r="U16" s="47">
        <v>4409.868</v>
      </c>
      <c r="V16" s="47">
        <v>4553</v>
      </c>
      <c r="W16" s="47">
        <v>4553</v>
      </c>
      <c r="X16" s="28">
        <v>7687</v>
      </c>
      <c r="Y16" s="28">
        <v>7687</v>
      </c>
      <c r="Z16" s="28">
        <v>4409.9</v>
      </c>
      <c r="AA16" s="28">
        <f t="shared" si="6"/>
        <v>4409.868</v>
      </c>
      <c r="AB16" s="28">
        <f t="shared" si="4"/>
        <v>4409.868</v>
      </c>
      <c r="AC16" s="28">
        <v>4409.868</v>
      </c>
      <c r="AD16" s="60"/>
      <c r="AE16" s="60"/>
      <c r="AF16" s="39"/>
      <c r="AG16" s="40"/>
    </row>
    <row r="17" spans="1:33" s="30" customFormat="1" ht="42" customHeight="1">
      <c r="A17" s="26">
        <v>5</v>
      </c>
      <c r="B17" s="31" t="s">
        <v>79</v>
      </c>
      <c r="C17" s="41"/>
      <c r="D17" s="42"/>
      <c r="E17" s="42"/>
      <c r="F17" s="34" t="s">
        <v>81</v>
      </c>
      <c r="G17" s="35">
        <v>19000</v>
      </c>
      <c r="H17" s="35">
        <v>19000</v>
      </c>
      <c r="I17" s="35"/>
      <c r="J17" s="35"/>
      <c r="K17" s="36"/>
      <c r="L17" s="37"/>
      <c r="M17" s="35">
        <v>14378</v>
      </c>
      <c r="N17" s="35">
        <v>14378</v>
      </c>
      <c r="O17" s="47">
        <f t="shared" si="5"/>
        <v>3536.247</v>
      </c>
      <c r="P17" s="47">
        <v>1235</v>
      </c>
      <c r="Q17" s="47">
        <v>1235</v>
      </c>
      <c r="R17" s="59">
        <f>S17</f>
        <v>2301.247</v>
      </c>
      <c r="S17" s="59">
        <v>2301.247</v>
      </c>
      <c r="T17" s="47">
        <v>1235</v>
      </c>
      <c r="U17" s="47">
        <v>1235</v>
      </c>
      <c r="V17" s="47">
        <v>1235</v>
      </c>
      <c r="W17" s="47">
        <v>1235</v>
      </c>
      <c r="X17" s="28">
        <v>15613</v>
      </c>
      <c r="Y17" s="28">
        <v>15613</v>
      </c>
      <c r="Z17" s="28">
        <v>3403.2</v>
      </c>
      <c r="AA17" s="28">
        <f t="shared" si="6"/>
        <v>3403.235</v>
      </c>
      <c r="AB17" s="28">
        <f t="shared" si="4"/>
        <v>1235</v>
      </c>
      <c r="AC17" s="28">
        <v>1235</v>
      </c>
      <c r="AD17" s="60">
        <f>AE17</f>
        <v>2168.235</v>
      </c>
      <c r="AE17" s="60">
        <v>2168.235</v>
      </c>
      <c r="AF17" s="39"/>
      <c r="AG17" s="40"/>
    </row>
    <row r="18" spans="1:33" s="30" customFormat="1" ht="42" customHeight="1">
      <c r="A18" s="26">
        <v>6</v>
      </c>
      <c r="B18" s="31" t="s">
        <v>157</v>
      </c>
      <c r="C18" s="41"/>
      <c r="D18" s="42"/>
      <c r="E18" s="42"/>
      <c r="F18" s="34" t="s">
        <v>162</v>
      </c>
      <c r="G18" s="35">
        <v>5000</v>
      </c>
      <c r="H18" s="35">
        <v>5000</v>
      </c>
      <c r="I18" s="35"/>
      <c r="J18" s="35"/>
      <c r="K18" s="36"/>
      <c r="L18" s="37"/>
      <c r="M18" s="35">
        <v>1560</v>
      </c>
      <c r="N18" s="35">
        <v>1560</v>
      </c>
      <c r="O18" s="47">
        <f t="shared" si="5"/>
        <v>2961</v>
      </c>
      <c r="P18" s="47">
        <v>2961</v>
      </c>
      <c r="Q18" s="47">
        <v>2942</v>
      </c>
      <c r="R18" s="59"/>
      <c r="S18" s="59"/>
      <c r="T18" s="47">
        <v>2765.461</v>
      </c>
      <c r="U18" s="47">
        <v>2765.461</v>
      </c>
      <c r="V18" s="47">
        <v>2961</v>
      </c>
      <c r="W18" s="47">
        <v>2961</v>
      </c>
      <c r="X18" s="28">
        <v>4521</v>
      </c>
      <c r="Y18" s="28">
        <v>4521</v>
      </c>
      <c r="Z18" s="28">
        <v>2761.1</v>
      </c>
      <c r="AA18" s="28">
        <f t="shared" si="6"/>
        <v>2761.086</v>
      </c>
      <c r="AB18" s="28">
        <f t="shared" si="4"/>
        <v>2761.086</v>
      </c>
      <c r="AC18" s="28">
        <v>2761.086</v>
      </c>
      <c r="AD18" s="60"/>
      <c r="AE18" s="60"/>
      <c r="AF18" s="39"/>
      <c r="AG18" s="40"/>
    </row>
    <row r="19" spans="1:33" s="30" customFormat="1" ht="34.5" customHeight="1">
      <c r="A19" s="26">
        <v>7</v>
      </c>
      <c r="B19" s="31" t="s">
        <v>80</v>
      </c>
      <c r="C19" s="41"/>
      <c r="D19" s="42"/>
      <c r="E19" s="42"/>
      <c r="F19" s="34" t="s">
        <v>82</v>
      </c>
      <c r="G19" s="35">
        <v>7449.885</v>
      </c>
      <c r="H19" s="35">
        <v>7449.885</v>
      </c>
      <c r="I19" s="35"/>
      <c r="J19" s="35"/>
      <c r="K19" s="36"/>
      <c r="L19" s="37"/>
      <c r="M19" s="35">
        <v>20</v>
      </c>
      <c r="N19" s="35">
        <v>20</v>
      </c>
      <c r="O19" s="47">
        <f t="shared" si="5"/>
        <v>4000</v>
      </c>
      <c r="P19" s="47">
        <v>4000</v>
      </c>
      <c r="Q19" s="47">
        <v>4000</v>
      </c>
      <c r="R19" s="59"/>
      <c r="S19" s="59"/>
      <c r="T19" s="47">
        <v>4000</v>
      </c>
      <c r="U19" s="47">
        <v>4000</v>
      </c>
      <c r="V19" s="47">
        <v>4000</v>
      </c>
      <c r="W19" s="47">
        <v>4000</v>
      </c>
      <c r="X19" s="28">
        <v>4020</v>
      </c>
      <c r="Y19" s="28">
        <v>4020</v>
      </c>
      <c r="Z19" s="28">
        <v>4000</v>
      </c>
      <c r="AA19" s="28">
        <f t="shared" si="6"/>
        <v>4000</v>
      </c>
      <c r="AB19" s="28">
        <f>AC19</f>
        <v>4000</v>
      </c>
      <c r="AC19" s="28">
        <v>4000</v>
      </c>
      <c r="AD19" s="60"/>
      <c r="AE19" s="60"/>
      <c r="AF19" s="39"/>
      <c r="AG19" s="40"/>
    </row>
    <row r="20" spans="1:33" s="30" customFormat="1" ht="34.5" customHeight="1">
      <c r="A20" s="26">
        <v>8</v>
      </c>
      <c r="B20" s="31" t="s">
        <v>113</v>
      </c>
      <c r="C20" s="41"/>
      <c r="D20" s="42"/>
      <c r="E20" s="42"/>
      <c r="F20" s="34" t="s">
        <v>163</v>
      </c>
      <c r="G20" s="35">
        <v>5000</v>
      </c>
      <c r="H20" s="35">
        <v>5000</v>
      </c>
      <c r="I20" s="35"/>
      <c r="J20" s="35"/>
      <c r="K20" s="36"/>
      <c r="L20" s="37"/>
      <c r="M20" s="35"/>
      <c r="N20" s="35"/>
      <c r="O20" s="47">
        <f t="shared" si="5"/>
        <v>2283</v>
      </c>
      <c r="P20" s="47">
        <v>2283</v>
      </c>
      <c r="Q20" s="47">
        <v>2283</v>
      </c>
      <c r="R20" s="59"/>
      <c r="S20" s="59"/>
      <c r="T20" s="47">
        <v>755.919</v>
      </c>
      <c r="U20" s="47">
        <v>755.919</v>
      </c>
      <c r="V20" s="47">
        <v>2283</v>
      </c>
      <c r="W20" s="47">
        <v>2283</v>
      </c>
      <c r="X20" s="28">
        <v>2283</v>
      </c>
      <c r="Y20" s="28">
        <v>2283</v>
      </c>
      <c r="Z20" s="28">
        <v>1939.8</v>
      </c>
      <c r="AA20" s="28">
        <f t="shared" si="6"/>
        <v>1939.776</v>
      </c>
      <c r="AB20" s="28">
        <f>AC20</f>
        <v>1939.776</v>
      </c>
      <c r="AC20" s="28">
        <v>1939.776</v>
      </c>
      <c r="AD20" s="60"/>
      <c r="AE20" s="60"/>
      <c r="AF20" s="39" t="s">
        <v>194</v>
      </c>
      <c r="AG20" s="40"/>
    </row>
    <row r="21" spans="1:33" s="30" customFormat="1" ht="34.5" customHeight="1">
      <c r="A21" s="26">
        <v>9</v>
      </c>
      <c r="B21" s="31" t="s">
        <v>216</v>
      </c>
      <c r="C21" s="41"/>
      <c r="D21" s="42"/>
      <c r="E21" s="42"/>
      <c r="F21" s="34"/>
      <c r="G21" s="35">
        <v>12000</v>
      </c>
      <c r="H21" s="35">
        <v>12000</v>
      </c>
      <c r="I21" s="35"/>
      <c r="J21" s="35"/>
      <c r="K21" s="36"/>
      <c r="L21" s="37"/>
      <c r="M21" s="35"/>
      <c r="N21" s="35"/>
      <c r="O21" s="47">
        <f>P21</f>
        <v>200</v>
      </c>
      <c r="P21" s="47">
        <f>Q21</f>
        <v>200</v>
      </c>
      <c r="Q21" s="47">
        <v>200</v>
      </c>
      <c r="R21" s="59"/>
      <c r="S21" s="59"/>
      <c r="T21" s="47"/>
      <c r="U21" s="47"/>
      <c r="V21" s="47"/>
      <c r="W21" s="47"/>
      <c r="X21" s="28"/>
      <c r="Y21" s="28"/>
      <c r="Z21" s="28">
        <v>437.137</v>
      </c>
      <c r="AA21" s="28">
        <f t="shared" si="6"/>
        <v>200</v>
      </c>
      <c r="AB21" s="28">
        <f>AC21</f>
        <v>200</v>
      </c>
      <c r="AC21" s="28">
        <v>200</v>
      </c>
      <c r="AD21" s="60"/>
      <c r="AE21" s="60"/>
      <c r="AF21" s="39"/>
      <c r="AG21" s="40"/>
    </row>
    <row r="22" spans="1:33" s="30" customFormat="1" ht="49.5" customHeight="1">
      <c r="A22" s="26">
        <v>10</v>
      </c>
      <c r="B22" s="86" t="s">
        <v>217</v>
      </c>
      <c r="C22" s="41"/>
      <c r="D22" s="42"/>
      <c r="E22" s="42"/>
      <c r="F22" s="34"/>
      <c r="G22" s="35">
        <v>14500</v>
      </c>
      <c r="H22" s="35">
        <v>14500</v>
      </c>
      <c r="I22" s="35"/>
      <c r="J22" s="35"/>
      <c r="K22" s="36"/>
      <c r="L22" s="37"/>
      <c r="M22" s="35"/>
      <c r="N22" s="35"/>
      <c r="O22" s="47">
        <f>P22</f>
        <v>100</v>
      </c>
      <c r="P22" s="47">
        <f>Q22</f>
        <v>100</v>
      </c>
      <c r="Q22" s="47">
        <v>100</v>
      </c>
      <c r="R22" s="59"/>
      <c r="S22" s="59"/>
      <c r="T22" s="47"/>
      <c r="U22" s="47"/>
      <c r="V22" s="47"/>
      <c r="W22" s="47"/>
      <c r="X22" s="28"/>
      <c r="Y22" s="28"/>
      <c r="Z22" s="28">
        <v>498.808</v>
      </c>
      <c r="AA22" s="28">
        <f t="shared" si="6"/>
        <v>100</v>
      </c>
      <c r="AB22" s="28">
        <f>AC22</f>
        <v>100</v>
      </c>
      <c r="AC22" s="28">
        <v>100</v>
      </c>
      <c r="AD22" s="60"/>
      <c r="AE22" s="60"/>
      <c r="AF22" s="39"/>
      <c r="AG22" s="40"/>
    </row>
    <row r="23" spans="1:33" s="30" customFormat="1" ht="43.5" customHeight="1">
      <c r="A23" s="7" t="s">
        <v>10</v>
      </c>
      <c r="B23" s="5" t="s">
        <v>201</v>
      </c>
      <c r="C23" s="25"/>
      <c r="D23" s="25"/>
      <c r="E23" s="25"/>
      <c r="F23" s="26"/>
      <c r="G23" s="27">
        <f>G24</f>
        <v>7000</v>
      </c>
      <c r="H23" s="27">
        <f>H24</f>
        <v>7000</v>
      </c>
      <c r="I23" s="27"/>
      <c r="J23" s="27"/>
      <c r="K23" s="27"/>
      <c r="L23" s="27"/>
      <c r="M23" s="27">
        <f aca="true" t="shared" si="7" ref="M23:AE23">M24</f>
        <v>2000</v>
      </c>
      <c r="N23" s="27">
        <f t="shared" si="7"/>
        <v>2000</v>
      </c>
      <c r="O23" s="43">
        <f t="shared" si="7"/>
        <v>4519.7</v>
      </c>
      <c r="P23" s="43">
        <f t="shared" si="7"/>
        <v>4519.7</v>
      </c>
      <c r="Q23" s="43">
        <f t="shared" si="7"/>
        <v>4519.7</v>
      </c>
      <c r="R23" s="43">
        <f t="shared" si="7"/>
        <v>0</v>
      </c>
      <c r="S23" s="43">
        <f t="shared" si="7"/>
        <v>0</v>
      </c>
      <c r="T23" s="43">
        <f t="shared" si="7"/>
        <v>3982.671</v>
      </c>
      <c r="U23" s="43">
        <f t="shared" si="7"/>
        <v>3982.671</v>
      </c>
      <c r="V23" s="43">
        <f t="shared" si="7"/>
        <v>4580</v>
      </c>
      <c r="W23" s="43">
        <f t="shared" si="7"/>
        <v>4580</v>
      </c>
      <c r="X23" s="43">
        <f t="shared" si="7"/>
        <v>6580</v>
      </c>
      <c r="Y23" s="43">
        <f t="shared" si="7"/>
        <v>6580</v>
      </c>
      <c r="Z23" s="43">
        <f t="shared" si="7"/>
        <v>4282.3</v>
      </c>
      <c r="AA23" s="43">
        <f t="shared" si="7"/>
        <v>4282.31</v>
      </c>
      <c r="AB23" s="43">
        <f t="shared" si="7"/>
        <v>4282.31</v>
      </c>
      <c r="AC23" s="43">
        <f t="shared" si="7"/>
        <v>4282.31</v>
      </c>
      <c r="AD23" s="43">
        <f t="shared" si="7"/>
        <v>0</v>
      </c>
      <c r="AE23" s="43">
        <f t="shared" si="7"/>
        <v>0</v>
      </c>
      <c r="AF23" s="27"/>
      <c r="AG23" s="44"/>
    </row>
    <row r="24" spans="1:33" s="30" customFormat="1" ht="36" customHeight="1">
      <c r="A24" s="26">
        <v>1</v>
      </c>
      <c r="B24" s="31" t="s">
        <v>164</v>
      </c>
      <c r="C24" s="45"/>
      <c r="D24" s="46"/>
      <c r="E24" s="46"/>
      <c r="F24" s="34" t="s">
        <v>165</v>
      </c>
      <c r="G24" s="35">
        <v>7000</v>
      </c>
      <c r="H24" s="35">
        <v>7000</v>
      </c>
      <c r="I24" s="35"/>
      <c r="J24" s="35"/>
      <c r="K24" s="36"/>
      <c r="L24" s="37"/>
      <c r="M24" s="35">
        <v>2000</v>
      </c>
      <c r="N24" s="35">
        <v>2000</v>
      </c>
      <c r="O24" s="47">
        <f t="shared" si="5"/>
        <v>4519.7</v>
      </c>
      <c r="P24" s="47">
        <f>Q24</f>
        <v>4519.7</v>
      </c>
      <c r="Q24" s="47">
        <v>4519.7</v>
      </c>
      <c r="R24" s="59"/>
      <c r="S24" s="59"/>
      <c r="T24" s="47">
        <v>3982.671</v>
      </c>
      <c r="U24" s="47">
        <v>3982.671</v>
      </c>
      <c r="V24" s="47">
        <v>4580</v>
      </c>
      <c r="W24" s="47">
        <v>4580</v>
      </c>
      <c r="X24" s="28">
        <v>6580</v>
      </c>
      <c r="Y24" s="28">
        <v>6580</v>
      </c>
      <c r="Z24" s="28">
        <v>4282.3</v>
      </c>
      <c r="AA24" s="28">
        <f t="shared" si="6"/>
        <v>4282.31</v>
      </c>
      <c r="AB24" s="28">
        <f>AC24</f>
        <v>4282.31</v>
      </c>
      <c r="AC24" s="28">
        <v>4282.31</v>
      </c>
      <c r="AD24" s="60"/>
      <c r="AE24" s="60"/>
      <c r="AF24" s="39"/>
      <c r="AG24" s="40"/>
    </row>
    <row r="25" spans="1:33" s="55" customFormat="1" ht="36" customHeight="1" hidden="1">
      <c r="A25" s="48" t="s">
        <v>166</v>
      </c>
      <c r="B25" s="49" t="s">
        <v>176</v>
      </c>
      <c r="C25" s="50"/>
      <c r="D25" s="51"/>
      <c r="E25" s="51"/>
      <c r="F25" s="52"/>
      <c r="G25" s="27"/>
      <c r="H25" s="27"/>
      <c r="I25" s="27"/>
      <c r="J25" s="27"/>
      <c r="K25" s="53"/>
      <c r="L25" s="20"/>
      <c r="M25" s="27"/>
      <c r="N25" s="20"/>
      <c r="O25" s="20"/>
      <c r="P25" s="27">
        <f>P26</f>
        <v>14688</v>
      </c>
      <c r="Q25" s="27">
        <f aca="true" t="shared" si="8" ref="Q25:AF25">Q26</f>
        <v>14688</v>
      </c>
      <c r="R25" s="27">
        <f t="shared" si="8"/>
        <v>1018.142</v>
      </c>
      <c r="S25" s="27">
        <f t="shared" si="8"/>
        <v>1018.142</v>
      </c>
      <c r="T25" s="27">
        <f t="shared" si="8"/>
        <v>10760.908</v>
      </c>
      <c r="U25" s="27">
        <f t="shared" si="8"/>
        <v>10760.908</v>
      </c>
      <c r="V25" s="27">
        <f t="shared" si="8"/>
        <v>15706.142</v>
      </c>
      <c r="W25" s="27">
        <f t="shared" si="8"/>
        <v>15706.142</v>
      </c>
      <c r="X25" s="27">
        <f t="shared" si="8"/>
        <v>14365.472</v>
      </c>
      <c r="Y25" s="27">
        <f t="shared" si="8"/>
        <v>14365.472</v>
      </c>
      <c r="Z25" s="27"/>
      <c r="AA25" s="27"/>
      <c r="AB25" s="27"/>
      <c r="AC25" s="27"/>
      <c r="AD25" s="27">
        <f t="shared" si="8"/>
        <v>0</v>
      </c>
      <c r="AE25" s="27">
        <f t="shared" si="8"/>
        <v>0</v>
      </c>
      <c r="AF25" s="27">
        <f t="shared" si="8"/>
        <v>0</v>
      </c>
      <c r="AG25" s="54"/>
    </row>
    <row r="26" spans="1:33" s="55" customFormat="1" ht="30" customHeight="1" hidden="1">
      <c r="A26" s="56"/>
      <c r="B26" s="49" t="s">
        <v>177</v>
      </c>
      <c r="C26" s="50"/>
      <c r="D26" s="51"/>
      <c r="E26" s="51"/>
      <c r="F26" s="52"/>
      <c r="G26" s="27"/>
      <c r="H26" s="27"/>
      <c r="I26" s="27"/>
      <c r="J26" s="27"/>
      <c r="K26" s="53"/>
      <c r="L26" s="20"/>
      <c r="M26" s="27"/>
      <c r="N26" s="20"/>
      <c r="O26" s="20"/>
      <c r="P26" s="27">
        <f>SUM(P27:P32)</f>
        <v>14688</v>
      </c>
      <c r="Q26" s="27">
        <f aca="true" t="shared" si="9" ref="Q26:AF26">SUM(Q27:Q32)</f>
        <v>14688</v>
      </c>
      <c r="R26" s="27">
        <f t="shared" si="9"/>
        <v>1018.142</v>
      </c>
      <c r="S26" s="27">
        <f t="shared" si="9"/>
        <v>1018.142</v>
      </c>
      <c r="T26" s="27">
        <f t="shared" si="9"/>
        <v>10760.908</v>
      </c>
      <c r="U26" s="27">
        <f t="shared" si="9"/>
        <v>10760.908</v>
      </c>
      <c r="V26" s="27">
        <f t="shared" si="9"/>
        <v>15706.142</v>
      </c>
      <c r="W26" s="27">
        <f t="shared" si="9"/>
        <v>15706.142</v>
      </c>
      <c r="X26" s="27">
        <f t="shared" si="9"/>
        <v>14365.472</v>
      </c>
      <c r="Y26" s="27">
        <f t="shared" si="9"/>
        <v>14365.472</v>
      </c>
      <c r="Z26" s="27"/>
      <c r="AA26" s="27"/>
      <c r="AB26" s="27"/>
      <c r="AC26" s="27"/>
      <c r="AD26" s="27">
        <f t="shared" si="9"/>
        <v>0</v>
      </c>
      <c r="AE26" s="27">
        <f t="shared" si="9"/>
        <v>0</v>
      </c>
      <c r="AF26" s="27">
        <f t="shared" si="9"/>
        <v>0</v>
      </c>
      <c r="AG26" s="54"/>
    </row>
    <row r="27" spans="1:33" s="30" customFormat="1" ht="36" customHeight="1" hidden="1">
      <c r="A27" s="26">
        <v>1</v>
      </c>
      <c r="B27" s="31" t="s">
        <v>178</v>
      </c>
      <c r="C27" s="32"/>
      <c r="D27" s="33"/>
      <c r="E27" s="33"/>
      <c r="F27" s="34"/>
      <c r="G27" s="35"/>
      <c r="H27" s="35"/>
      <c r="I27" s="35"/>
      <c r="J27" s="35"/>
      <c r="K27" s="36"/>
      <c r="L27" s="37"/>
      <c r="M27" s="35"/>
      <c r="N27" s="37"/>
      <c r="O27" s="37"/>
      <c r="P27" s="35">
        <v>200</v>
      </c>
      <c r="Q27" s="35">
        <v>200</v>
      </c>
      <c r="R27" s="36">
        <v>190.18</v>
      </c>
      <c r="S27" s="36">
        <v>190.18</v>
      </c>
      <c r="T27" s="47">
        <v>171.93</v>
      </c>
      <c r="U27" s="47">
        <v>171.93</v>
      </c>
      <c r="V27" s="35">
        <f>W27</f>
        <v>390.18</v>
      </c>
      <c r="W27" s="35">
        <f>Q27+R27</f>
        <v>390.18</v>
      </c>
      <c r="X27" s="35">
        <f>Y27</f>
        <v>362.11</v>
      </c>
      <c r="Y27" s="35">
        <f>S27+T27</f>
        <v>362.11</v>
      </c>
      <c r="Z27" s="35"/>
      <c r="AA27" s="35"/>
      <c r="AB27" s="35"/>
      <c r="AC27" s="35"/>
      <c r="AD27" s="38"/>
      <c r="AE27" s="38"/>
      <c r="AF27" s="39"/>
      <c r="AG27" s="40"/>
    </row>
    <row r="28" spans="1:33" s="30" customFormat="1" ht="36" customHeight="1" hidden="1">
      <c r="A28" s="26">
        <v>2</v>
      </c>
      <c r="B28" s="31" t="s">
        <v>179</v>
      </c>
      <c r="C28" s="32"/>
      <c r="D28" s="33"/>
      <c r="E28" s="33"/>
      <c r="F28" s="34"/>
      <c r="G28" s="35"/>
      <c r="H28" s="35"/>
      <c r="I28" s="35"/>
      <c r="J28" s="35"/>
      <c r="K28" s="36"/>
      <c r="L28" s="37"/>
      <c r="M28" s="35"/>
      <c r="N28" s="37"/>
      <c r="O28" s="37"/>
      <c r="P28" s="35">
        <v>2788</v>
      </c>
      <c r="Q28" s="35">
        <v>2788</v>
      </c>
      <c r="R28" s="36"/>
      <c r="S28" s="36"/>
      <c r="T28" s="35">
        <v>2788</v>
      </c>
      <c r="U28" s="35">
        <v>2788</v>
      </c>
      <c r="V28" s="35">
        <v>2788</v>
      </c>
      <c r="W28" s="35">
        <v>2788</v>
      </c>
      <c r="X28" s="35">
        <v>2788</v>
      </c>
      <c r="Y28" s="35">
        <v>2788</v>
      </c>
      <c r="Z28" s="35"/>
      <c r="AA28" s="35"/>
      <c r="AB28" s="35"/>
      <c r="AC28" s="35"/>
      <c r="AD28" s="38"/>
      <c r="AE28" s="38"/>
      <c r="AF28" s="39"/>
      <c r="AG28" s="40"/>
    </row>
    <row r="29" spans="1:33" s="30" customFormat="1" ht="36" customHeight="1" hidden="1">
      <c r="A29" s="26">
        <v>3</v>
      </c>
      <c r="B29" s="31" t="s">
        <v>180</v>
      </c>
      <c r="C29" s="32"/>
      <c r="D29" s="33"/>
      <c r="E29" s="33"/>
      <c r="F29" s="34"/>
      <c r="G29" s="35"/>
      <c r="H29" s="35"/>
      <c r="I29" s="35"/>
      <c r="J29" s="35"/>
      <c r="K29" s="36"/>
      <c r="L29" s="37"/>
      <c r="M29" s="35"/>
      <c r="N29" s="37"/>
      <c r="O29" s="37"/>
      <c r="P29" s="35">
        <v>200</v>
      </c>
      <c r="Q29" s="35">
        <v>200</v>
      </c>
      <c r="R29" s="36"/>
      <c r="S29" s="36"/>
      <c r="T29" s="47">
        <v>83.552</v>
      </c>
      <c r="U29" s="47">
        <v>83.552</v>
      </c>
      <c r="V29" s="35">
        <v>200</v>
      </c>
      <c r="W29" s="35">
        <v>200</v>
      </c>
      <c r="X29" s="35">
        <v>200</v>
      </c>
      <c r="Y29" s="35">
        <v>200</v>
      </c>
      <c r="Z29" s="35"/>
      <c r="AA29" s="35"/>
      <c r="AB29" s="35"/>
      <c r="AC29" s="35"/>
      <c r="AD29" s="38"/>
      <c r="AE29" s="38"/>
      <c r="AF29" s="39"/>
      <c r="AG29" s="40"/>
    </row>
    <row r="30" spans="1:33" s="30" customFormat="1" ht="36" customHeight="1" hidden="1">
      <c r="A30" s="26">
        <v>4</v>
      </c>
      <c r="B30" s="31" t="s">
        <v>181</v>
      </c>
      <c r="C30" s="32"/>
      <c r="D30" s="33"/>
      <c r="E30" s="33"/>
      <c r="F30" s="34"/>
      <c r="G30" s="35"/>
      <c r="H30" s="35"/>
      <c r="I30" s="35"/>
      <c r="J30" s="35"/>
      <c r="K30" s="36"/>
      <c r="L30" s="37"/>
      <c r="M30" s="35"/>
      <c r="N30" s="37"/>
      <c r="O30" s="37"/>
      <c r="P30" s="35">
        <v>2500</v>
      </c>
      <c r="Q30" s="35">
        <v>2500</v>
      </c>
      <c r="R30" s="36">
        <v>827.962</v>
      </c>
      <c r="S30" s="36">
        <v>827.962</v>
      </c>
      <c r="T30" s="47">
        <v>1187.4</v>
      </c>
      <c r="U30" s="47">
        <v>1187.4</v>
      </c>
      <c r="V30" s="35">
        <f>W30</f>
        <v>3327.962</v>
      </c>
      <c r="W30" s="35">
        <f>R30+Q30</f>
        <v>3327.962</v>
      </c>
      <c r="X30" s="35">
        <f>Y30</f>
        <v>2015.362</v>
      </c>
      <c r="Y30" s="35">
        <f>T30+S30</f>
        <v>2015.362</v>
      </c>
      <c r="Z30" s="35"/>
      <c r="AA30" s="35"/>
      <c r="AB30" s="35"/>
      <c r="AC30" s="35"/>
      <c r="AD30" s="38"/>
      <c r="AE30" s="38"/>
      <c r="AF30" s="39"/>
      <c r="AG30" s="40"/>
    </row>
    <row r="31" spans="1:33" s="30" customFormat="1" ht="36" customHeight="1" hidden="1">
      <c r="A31" s="26">
        <v>5</v>
      </c>
      <c r="B31" s="31" t="s">
        <v>182</v>
      </c>
      <c r="C31" s="32"/>
      <c r="D31" s="33"/>
      <c r="E31" s="33"/>
      <c r="F31" s="34"/>
      <c r="G31" s="35"/>
      <c r="H31" s="35"/>
      <c r="I31" s="35"/>
      <c r="J31" s="35"/>
      <c r="K31" s="36"/>
      <c r="L31" s="37"/>
      <c r="M31" s="35"/>
      <c r="N31" s="37"/>
      <c r="O31" s="37"/>
      <c r="P31" s="35">
        <v>5000</v>
      </c>
      <c r="Q31" s="35">
        <v>5000</v>
      </c>
      <c r="R31" s="36"/>
      <c r="S31" s="36"/>
      <c r="T31" s="47">
        <v>4000</v>
      </c>
      <c r="U31" s="47">
        <v>4000</v>
      </c>
      <c r="V31" s="35">
        <v>5000</v>
      </c>
      <c r="W31" s="35">
        <v>5000</v>
      </c>
      <c r="X31" s="35">
        <v>5000</v>
      </c>
      <c r="Y31" s="35">
        <v>5000</v>
      </c>
      <c r="Z31" s="35"/>
      <c r="AA31" s="35"/>
      <c r="AB31" s="35"/>
      <c r="AC31" s="35"/>
      <c r="AD31" s="38"/>
      <c r="AE31" s="38"/>
      <c r="AF31" s="39"/>
      <c r="AG31" s="40"/>
    </row>
    <row r="32" spans="1:33" s="30" customFormat="1" ht="36" customHeight="1" hidden="1">
      <c r="A32" s="26">
        <v>6</v>
      </c>
      <c r="B32" s="31" t="s">
        <v>183</v>
      </c>
      <c r="C32" s="32"/>
      <c r="D32" s="33"/>
      <c r="E32" s="33"/>
      <c r="F32" s="34"/>
      <c r="G32" s="35"/>
      <c r="H32" s="35"/>
      <c r="I32" s="35"/>
      <c r="J32" s="35"/>
      <c r="K32" s="36"/>
      <c r="L32" s="37"/>
      <c r="M32" s="35"/>
      <c r="N32" s="37"/>
      <c r="O32" s="37"/>
      <c r="P32" s="35">
        <v>4000</v>
      </c>
      <c r="Q32" s="35">
        <v>4000</v>
      </c>
      <c r="R32" s="36"/>
      <c r="S32" s="36"/>
      <c r="T32" s="47">
        <v>2530.026</v>
      </c>
      <c r="U32" s="47">
        <v>2530.026</v>
      </c>
      <c r="V32" s="35">
        <v>4000</v>
      </c>
      <c r="W32" s="35">
        <v>4000</v>
      </c>
      <c r="X32" s="35">
        <v>4000</v>
      </c>
      <c r="Y32" s="35">
        <v>4000</v>
      </c>
      <c r="Z32" s="35"/>
      <c r="AA32" s="35"/>
      <c r="AB32" s="35"/>
      <c r="AC32" s="35"/>
      <c r="AD32" s="38"/>
      <c r="AE32" s="38"/>
      <c r="AF32" s="39"/>
      <c r="AG32" s="40"/>
    </row>
    <row r="33" spans="7:31" ht="15.75"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8"/>
      <c r="AE33" s="58"/>
    </row>
    <row r="34" spans="7:31" ht="15.75"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8" t="s">
        <v>121</v>
      </c>
      <c r="X34" s="57"/>
      <c r="Y34" s="9"/>
      <c r="Z34" s="9"/>
      <c r="AA34" s="9"/>
      <c r="AB34" s="9"/>
      <c r="AC34" s="9"/>
      <c r="AD34" s="10"/>
      <c r="AE34" s="58"/>
    </row>
    <row r="35" spans="23:30" ht="15.75">
      <c r="W35" s="3" t="s">
        <v>14</v>
      </c>
      <c r="Y35" s="11"/>
      <c r="Z35" s="11"/>
      <c r="AA35" s="11"/>
      <c r="AB35" s="11"/>
      <c r="AC35" s="11"/>
      <c r="AD35" s="12"/>
    </row>
    <row r="36" spans="23:30" ht="15.75">
      <c r="W36" s="3"/>
      <c r="Y36" s="11"/>
      <c r="Z36" s="11"/>
      <c r="AA36" s="11"/>
      <c r="AB36" s="11"/>
      <c r="AC36" s="11"/>
      <c r="AD36" s="12"/>
    </row>
  </sheetData>
  <sheetProtection/>
  <mergeCells count="49">
    <mergeCell ref="Z5:Z9"/>
    <mergeCell ref="AB8:AB9"/>
    <mergeCell ref="AC8:AC9"/>
    <mergeCell ref="A2:AF2"/>
    <mergeCell ref="A3:AF3"/>
    <mergeCell ref="A5:A9"/>
    <mergeCell ref="B5:B9"/>
    <mergeCell ref="C5:C9"/>
    <mergeCell ref="AA5:AE5"/>
    <mergeCell ref="AA6:AA9"/>
    <mergeCell ref="AB6:AE6"/>
    <mergeCell ref="AB7:AC7"/>
    <mergeCell ref="AD7:AE7"/>
    <mergeCell ref="X5:Y7"/>
    <mergeCell ref="J7:L7"/>
    <mergeCell ref="J8:J9"/>
    <mergeCell ref="K8:L8"/>
    <mergeCell ref="P8:P9"/>
    <mergeCell ref="O5:W5"/>
    <mergeCell ref="O6:O9"/>
    <mergeCell ref="P6:S6"/>
    <mergeCell ref="P7:Q7"/>
    <mergeCell ref="R7:S7"/>
    <mergeCell ref="I7:I9"/>
    <mergeCell ref="D5:D9"/>
    <mergeCell ref="E5:E9"/>
    <mergeCell ref="F5:H5"/>
    <mergeCell ref="I5:L6"/>
    <mergeCell ref="M5:N5"/>
    <mergeCell ref="V8:V9"/>
    <mergeCell ref="AF5:AF9"/>
    <mergeCell ref="F6:F9"/>
    <mergeCell ref="G6:H6"/>
    <mergeCell ref="M6:M9"/>
    <mergeCell ref="N6:N9"/>
    <mergeCell ref="T6:U7"/>
    <mergeCell ref="V6:W7"/>
    <mergeCell ref="G7:G9"/>
    <mergeCell ref="H7:H9"/>
    <mergeCell ref="W8:W9"/>
    <mergeCell ref="Q8:Q9"/>
    <mergeCell ref="X8:X9"/>
    <mergeCell ref="Y8:Y9"/>
    <mergeCell ref="AD8:AD9"/>
    <mergeCell ref="AE8:AE9"/>
    <mergeCell ref="R8:R9"/>
    <mergeCell ref="S8:S9"/>
    <mergeCell ref="T8:T9"/>
    <mergeCell ref="U8:U9"/>
  </mergeCells>
  <printOptions/>
  <pageMargins left="0.3937007874015748" right="0.2362204724409449" top="0.3937007874015748" bottom="0.275590551181102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trangminhtruc</dc:creator>
  <cp:keywords/>
  <dc:description/>
  <cp:lastModifiedBy>Admin</cp:lastModifiedBy>
  <cp:lastPrinted>2021-03-22T02:54:20Z</cp:lastPrinted>
  <dcterms:created xsi:type="dcterms:W3CDTF">2017-05-11T00:46:56Z</dcterms:created>
  <dcterms:modified xsi:type="dcterms:W3CDTF">2021-03-24T03:29:30Z</dcterms:modified>
  <cp:category/>
  <cp:version/>
  <cp:contentType/>
  <cp:contentStatus/>
</cp:coreProperties>
</file>