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24226"/>
  <mc:AlternateContent xmlns:mc="http://schemas.openxmlformats.org/markup-compatibility/2006">
    <mc:Choice Requires="x15">
      <x15ac:absPath xmlns:x15ac="http://schemas.microsoft.com/office/spreadsheetml/2010/11/ac" url="C:\Users\Admin\AppData\Local\Temp\Tandan JSC\files\"/>
    </mc:Choice>
  </mc:AlternateContent>
  <xr:revisionPtr revIDLastSave="0" documentId="13_ncr:1_{A16261F4-F58A-4D89-A08C-3B681D826B88}" xr6:coauthVersionLast="36" xr6:coauthVersionMax="36" xr10:uidLastSave="{00000000-0000-0000-0000-000000000000}"/>
  <bookViews>
    <workbookView xWindow="-105" yWindow="-105" windowWidth="19425" windowHeight="10305" tabRatio="646" firstSheet="1" activeTab="6" xr2:uid="{00000000-000D-0000-FFFF-FFFF00000000}"/>
  </bookViews>
  <sheets>
    <sheet name="XL4Test5" sheetId="2" state="hidden" r:id="rId1"/>
    <sheet name="Biểu 1" sheetId="10" r:id="rId2"/>
    <sheet name="Biểu 2" sheetId="12" r:id="rId3"/>
    <sheet name="Biểu 3" sheetId="14" r:id="rId4"/>
    <sheet name="Biểu 4" sheetId="19" r:id="rId5"/>
    <sheet name="Biểu 5" sheetId="20" r:id="rId6"/>
    <sheet name="Biểu 6" sheetId="21" r:id="rId7"/>
  </sheets>
  <externalReferences>
    <externalReference r:id="rId8"/>
  </externalReferences>
  <definedNames>
    <definedName name="_1" localSheetId="0">#REF!</definedName>
    <definedName name="_1">#N/A</definedName>
    <definedName name="_1000A01">#N/A</definedName>
    <definedName name="_2" localSheetId="0">#REF!</definedName>
    <definedName name="_2">#N/A</definedName>
    <definedName name="_Builtin0" localSheetId="0">XL4Test5!$C$23</definedName>
    <definedName name="_CON1" localSheetId="0">#REF!</definedName>
    <definedName name="_CON1">#REF!</definedName>
    <definedName name="_CON2" localSheetId="0">#REF!</definedName>
    <definedName name="_CON2">#REF!</definedName>
    <definedName name="_ddn400">#REF!</definedName>
    <definedName name="_ddn600">#REF!</definedName>
    <definedName name="_Fill" localSheetId="0" hidden="1">#REF!</definedName>
    <definedName name="_Fill" hidden="1">#REF!</definedName>
    <definedName name="_Key1" hidden="1">#REF!</definedName>
    <definedName name="_Key2" hidden="1">#REF!</definedName>
    <definedName name="_MAC12">#REF!</definedName>
    <definedName name="_MAC46">#REF!</definedName>
    <definedName name="_NCL100">#REF!</definedName>
    <definedName name="_NCL200">#REF!</definedName>
    <definedName name="_NCL250">#REF!</definedName>
    <definedName name="_NET2" localSheetId="0">#REF!</definedName>
    <definedName name="_NET2">#REF!</definedName>
    <definedName name="_nin190">#REF!</definedName>
    <definedName name="_Order1" hidden="1">255</definedName>
    <definedName name="_Order2" hidden="1">255</definedName>
    <definedName name="_sc1">#REF!</definedName>
    <definedName name="_SC2">#REF!</definedName>
    <definedName name="_sc3">#REF!</definedName>
    <definedName name="_SN3">#REF!</definedName>
    <definedName name="_Sort" localSheetId="0" hidden="1">#REF!</definedName>
    <definedName name="_Sort" hidden="1">#REF!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z593">#REF!</definedName>
    <definedName name="_VL100">#REF!</definedName>
    <definedName name="_VL200">#REF!</definedName>
    <definedName name="_VL250">#REF!</definedName>
    <definedName name="A" localSheetId="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35_">#REF!</definedName>
    <definedName name="A50_">#REF!</definedName>
    <definedName name="A70_">#REF!</definedName>
    <definedName name="A95_">#REF!</definedName>
    <definedName name="AA" localSheetId="0">#REF!</definedName>
    <definedName name="AA">#REF!</definedName>
    <definedName name="AC120_">#REF!</definedName>
    <definedName name="AC35_">#REF!</definedName>
    <definedName name="AC50_">#REF!</definedName>
    <definedName name="AC70_">#REF!</definedName>
    <definedName name="AC95_">#REF!</definedName>
    <definedName name="ag15F80">#REF!</definedName>
    <definedName name="All_Item">#REF!</definedName>
    <definedName name="ALPIN">#N/A</definedName>
    <definedName name="ALPJYOU">#N/A</definedName>
    <definedName name="ALPTOI">#N/A</definedName>
    <definedName name="b" localSheetId="0">#REF!</definedName>
    <definedName name="BB" localSheetId="0">#REF!</definedName>
    <definedName name="BB">#REF!</definedName>
    <definedName name="BOQ" localSheetId="0">#REF!</definedName>
    <definedName name="BOQ">#REF!</definedName>
    <definedName name="Bust" localSheetId="0">XL4Test5!$C$15</definedName>
    <definedName name="BVCISUMMARY" localSheetId="0">#REF!</definedName>
    <definedName name="BVCISUMMARY">#REF!</definedName>
    <definedName name="C_">#REF!</definedName>
    <definedName name="Category_All">#REF!</definedName>
    <definedName name="CATIN">#N/A</definedName>
    <definedName name="CATJYOU">#N/A</definedName>
    <definedName name="CATSYU">#N/A</definedName>
    <definedName name="CATREC">#N/A</definedName>
    <definedName name="CC">#REF!</definedName>
    <definedName name="CCS">#REF!</definedName>
    <definedName name="CDD">#REF!</definedName>
    <definedName name="CK">#REF!</definedName>
    <definedName name="CLVC3">0.1</definedName>
    <definedName name="CLVCTB">#REF!</definedName>
    <definedName name="CLVL">#REF!</definedName>
    <definedName name="Cöï_ly_vaän_chuyeãn">#REF!</definedName>
    <definedName name="CÖÏ_LY_VAÄN_CHUYEÅN">#REF!</definedName>
    <definedName name="COMMON" localSheetId="0">#REF!</definedName>
    <definedName name="COMMON">#REF!</definedName>
    <definedName name="CON_EQP_COS" localSheetId="0">#REF!</definedName>
    <definedName name="CON_EQP_COS">#REF!</definedName>
    <definedName name="CON_EQP_COST">#REF!</definedName>
    <definedName name="CONST_EQ">#REF!</definedName>
    <definedName name="Continue" localSheetId="0">XL4Test5!$C$30</definedName>
    <definedName name="COVER" localSheetId="0">#REF!</definedName>
    <definedName name="COVER">#REF!</definedName>
    <definedName name="CPC">#REF!</definedName>
    <definedName name="CPVC100">#REF!</definedName>
    <definedName name="CRD">#REF!</definedName>
    <definedName name="CRITINST" localSheetId="0">#REF!</definedName>
    <definedName name="CRITINST">#REF!</definedName>
    <definedName name="CRITPURC" localSheetId="0">#REF!</definedName>
    <definedName name="CRITPURC">#REF!</definedName>
    <definedName name="CRS">#REF!</definedName>
    <definedName name="CS">#REF!</definedName>
    <definedName name="CS_10" localSheetId="0">#REF!</definedName>
    <definedName name="CS_10">#REF!</definedName>
    <definedName name="CS_100" localSheetId="0">#REF!</definedName>
    <definedName name="CS_100">#REF!</definedName>
    <definedName name="CS_10S" localSheetId="0">#REF!</definedName>
    <definedName name="CS_10S">#REF!</definedName>
    <definedName name="CS_120" localSheetId="0">#REF!</definedName>
    <definedName name="CS_120">#REF!</definedName>
    <definedName name="CS_140" localSheetId="0">#REF!</definedName>
    <definedName name="CS_140">#REF!</definedName>
    <definedName name="CS_160" localSheetId="0">#REF!</definedName>
    <definedName name="CS_160">#REF!</definedName>
    <definedName name="CS_20" localSheetId="0">#REF!</definedName>
    <definedName name="CS_20">#REF!</definedName>
    <definedName name="CS_30" localSheetId="0">#REF!</definedName>
    <definedName name="CS_30">#REF!</definedName>
    <definedName name="CS_40" localSheetId="0">#REF!</definedName>
    <definedName name="CS_40">#REF!</definedName>
    <definedName name="CS_40S" localSheetId="0">#REF!</definedName>
    <definedName name="CS_40S">#REF!</definedName>
    <definedName name="CS_5S" localSheetId="0">#REF!</definedName>
    <definedName name="CS_5S">#REF!</definedName>
    <definedName name="CS_60" localSheetId="0">#REF!</definedName>
    <definedName name="CS_60">#REF!</definedName>
    <definedName name="CS_80" localSheetId="0">#REF!</definedName>
    <definedName name="CS_80">#REF!</definedName>
    <definedName name="CS_80S" localSheetId="0">#REF!</definedName>
    <definedName name="CS_80S">#REF!</definedName>
    <definedName name="CS_STD" localSheetId="0">#REF!</definedName>
    <definedName name="CS_STD">#REF!</definedName>
    <definedName name="CS_XS" localSheetId="0">#REF!</definedName>
    <definedName name="CS_XS">#REF!</definedName>
    <definedName name="CS_XXS" localSheetId="0">#REF!</definedName>
    <definedName name="CS_XXS">#REF!</definedName>
    <definedName name="csd3p">#REF!</definedName>
    <definedName name="csddg1p">#REF!</definedName>
    <definedName name="csddt1p">#REF!</definedName>
    <definedName name="csht3p">#REF!</definedName>
    <definedName name="CURRENCY">#REF!</definedName>
    <definedName name="CX">#REF!</definedName>
    <definedName name="CH">#REF!</definedName>
    <definedName name="D_7101A_B">#REF!</definedName>
    <definedName name="_xlnm.Database" localSheetId="0">#REF!</definedName>
    <definedName name="_xlnm.Database">#REF!</definedName>
    <definedName name="DD">#REF!</definedName>
    <definedName name="dgnc">#REF!</definedName>
    <definedName name="dgvl">#REF!</definedName>
    <definedName name="Document_array" localSheetId="0">{"Book1","BC uoc TH thu-chi n¨m 2008.xls"}</definedName>
    <definedName name="Document_array">{"Book1"}</definedName>
    <definedName name="Documents_array" localSheetId="0">XL4Test5!$B$2:$B$19</definedName>
    <definedName name="ds1pnc">#REF!</definedName>
    <definedName name="ds1pvl">#REF!</definedName>
    <definedName name="ds3pnc">#REF!</definedName>
    <definedName name="ds3pvl">#REF!</definedName>
    <definedName name="DSUMDATA" localSheetId="0">#REF!</definedName>
    <definedName name="DSUMDATA">#REF!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f">#REF!</definedName>
    <definedName name="f92F56">#REF!</definedName>
    <definedName name="FACTOR">#REF!</definedName>
    <definedName name="G">#REF!</definedName>
    <definedName name="gl3p">#REF!</definedName>
    <definedName name="h" localSheetId="0">#REF!</definedName>
    <definedName name="h" hidden="1">{"'Sheet1'!$L$16"}</definedName>
    <definedName name="Heä_soá_laép_xaø_H">1.7</definedName>
    <definedName name="heä_soá_sình_laày">#REF!</definedName>
    <definedName name="Hello" localSheetId="0">XL4Test5!$A$33</definedName>
    <definedName name="HOME_MANP" localSheetId="0">#REF!</definedName>
    <definedName name="HOME_MANP">#REF!</definedName>
    <definedName name="HOMEOFFICE_COST" localSheetId="0">#REF!</definedName>
    <definedName name="HOMEOFFICE_COST">#REF!</definedName>
    <definedName name="HSCT3">0.1</definedName>
    <definedName name="hsdc1">#REF!</definedName>
    <definedName name="HSDN">2.5</definedName>
    <definedName name="HSHH">#REF!</definedName>
    <definedName name="HSHHUT">#REF!</definedName>
    <definedName name="HSSL">#REF!</definedName>
    <definedName name="HSVC1">#REF!</definedName>
    <definedName name="HSVC2">#REF!</definedName>
    <definedName name="HSVC3">#REF!</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VL">#REF!</definedName>
    <definedName name="huy" hidden="1">{"'Sheet1'!$L$16"}</definedName>
    <definedName name="IDLAB_COST" localSheetId="0">#REF!</definedName>
    <definedName name="IDLAB_COST">#REF!</definedName>
    <definedName name="IND_LAB">#REF!</definedName>
    <definedName name="INDMANP" localSheetId="0">#REF!</definedName>
    <definedName name="INDMANP">#REF!</definedName>
    <definedName name="j">#REF!</definedName>
    <definedName name="k">#REF!</definedName>
    <definedName name="kp1ph">#REF!</definedName>
    <definedName name="l">#REF!</definedName>
    <definedName name="Lmk">#REF!</definedName>
    <definedName name="LN">#REF!</definedName>
    <definedName name="m">#REF!</definedName>
    <definedName name="M12ba3p">#REF!</definedName>
    <definedName name="M12bb1p">#REF!</definedName>
    <definedName name="M12cbnc">#REF!</definedName>
    <definedName name="M12cbvl">#REF!</definedName>
    <definedName name="M14bb1p">#REF!</definedName>
    <definedName name="m8aanc">#REF!</definedName>
    <definedName name="m8aavl">#REF!</definedName>
    <definedName name="Ma3pnc">#REF!</definedName>
    <definedName name="Ma3pvl">#REF!</definedName>
    <definedName name="Maa3pnc">#REF!</definedName>
    <definedName name="Maa3pvl">#REF!</definedName>
    <definedName name="MAJ_CON_EQP" localSheetId="0">#REF!</definedName>
    <definedName name="MAJ_CON_EQP">#REF!</definedName>
    <definedName name="Mba1p">#REF!</definedName>
    <definedName name="Mba3p">#REF!</definedName>
    <definedName name="Mbb3p">#REF!</definedName>
    <definedName name="Mbn1p">#REF!</definedName>
    <definedName name="MG_A">#REF!</definedName>
    <definedName name="MTMAC12">#REF!</definedName>
    <definedName name="mtram">#REF!</definedName>
    <definedName name="n">#REF!</definedName>
    <definedName name="n1pig">#REF!</definedName>
    <definedName name="n1pind">#REF!</definedName>
    <definedName name="n1pint">#REF!</definedName>
    <definedName name="n1ping">#REF!</definedName>
    <definedName name="nc1p">#REF!</definedName>
    <definedName name="nc3p">#REF!</definedName>
    <definedName name="NCBD100">#REF!</definedName>
    <definedName name="NCBD200">#REF!</definedName>
    <definedName name="NCBD250">#REF!</definedName>
    <definedName name="nctram">#REF!</definedName>
    <definedName name="NCVC100">#REF!</definedName>
    <definedName name="NCVC200">#REF!</definedName>
    <definedName name="NCVC250">#REF!</definedName>
    <definedName name="NCVC3P">#REF!</definedName>
    <definedName name="NET" localSheetId="0">#REF!</definedName>
    <definedName name="NET">#REF!</definedName>
    <definedName name="NET_1" localSheetId="0">#REF!</definedName>
    <definedName name="NET_1">#REF!</definedName>
    <definedName name="NET_ANA" localSheetId="0">#REF!</definedName>
    <definedName name="NET_ANA">#REF!</definedName>
    <definedName name="NET_ANA_1" localSheetId="0">#REF!</definedName>
    <definedName name="NET_ANA_1">#REF!</definedName>
    <definedName name="NET_ANA_2" localSheetId="0">#REF!</definedName>
    <definedName name="NET_ANA_2">#REF!</definedName>
    <definedName name="nig">#REF!</definedName>
    <definedName name="nig1p">#REF!</definedName>
    <definedName name="nig3p">#REF!</definedName>
    <definedName name="nignc1p">#REF!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1p">#REF!</definedName>
    <definedName name="nindnc3p">#REF!</definedName>
    <definedName name="nindvl1p">#REF!</definedName>
    <definedName name="nindvl3p">#REF!</definedName>
    <definedName name="ninnc3p">#REF!</definedName>
    <definedName name="nint1p">#REF!</definedName>
    <definedName name="nintnc1p">#REF!</definedName>
    <definedName name="nintvl1p">#REF!</definedName>
    <definedName name="ninvl3p">#REF!</definedName>
    <definedName name="ning1p">#REF!</definedName>
    <definedName name="ningnc1p">#REF!</definedName>
    <definedName name="ningvl1p">#REF!</definedName>
    <definedName name="nl">#REF!</definedName>
    <definedName name="nl1p">#REF!</definedName>
    <definedName name="nl3p">#REF!</definedName>
    <definedName name="nlnc3p">#REF!</definedName>
    <definedName name="nlnc3pha">#REF!</definedName>
    <definedName name="NLTK1p">#REF!</definedName>
    <definedName name="nlvl3p">#REF!</definedName>
    <definedName name="nn">#REF!</definedName>
    <definedName name="nn1p">#REF!</definedName>
    <definedName name="nn3p">#REF!</definedName>
    <definedName name="nnnc3p">#REF!</definedName>
    <definedName name="nnvl3p">#REF!</definedName>
    <definedName name="nhn">#REF!</definedName>
    <definedName name="PK">#REF!</definedName>
    <definedName name="PRICE">#REF!</definedName>
    <definedName name="PRICE1">#REF!</definedName>
    <definedName name="_xlnm.Print_Area" localSheetId="1">'Biểu 1'!$A$1:$C$39</definedName>
    <definedName name="_xlnm.Print_Area" localSheetId="2">'Biểu 2'!$A$1:$AD$146</definedName>
    <definedName name="_xlnm.Print_Area" localSheetId="3">'Biểu 3'!$A$1:$V$73</definedName>
    <definedName name="_xlnm.Print_Area" localSheetId="5">'Biểu 5'!$A$1:$T$34</definedName>
    <definedName name="_xlnm.Print_Area" localSheetId="6">'Biểu 6'!$A$1:$I$18</definedName>
    <definedName name="_xlnm.Print_Area" localSheetId="0">#REF!</definedName>
    <definedName name="_xlnm.Print_Area">#REF!</definedName>
    <definedName name="PRINT_AREA_MI" localSheetId="0">#REF!</definedName>
    <definedName name="_xlnm.Print_Titles" localSheetId="1">'Biểu 1'!$6:$8</definedName>
    <definedName name="_xlnm.Print_Titles" localSheetId="2">'Biểu 2'!$4:$5</definedName>
    <definedName name="_xlnm.Print_Titles" localSheetId="3">'Biểu 3'!$5:$5</definedName>
    <definedName name="_xlnm.Print_Titles" localSheetId="4">'Biểu 4'!$4:$6</definedName>
    <definedName name="_xlnm.Print_Titles" localSheetId="5">'Biểu 5'!$4:$6</definedName>
    <definedName name="_xlnm.Print_Titles" localSheetId="0">#N/A</definedName>
    <definedName name="_xlnm.Print_Titles">#REF!</definedName>
    <definedName name="PRINT_TITLES_MI" localSheetId="0">#REF!</definedName>
    <definedName name="Print_Titles_MI">#REF!</definedName>
    <definedName name="PRINTA" localSheetId="0">#REF!</definedName>
    <definedName name="PRINTA">#REF!</definedName>
    <definedName name="PRINTB" localSheetId="0">#REF!</definedName>
    <definedName name="PRINTB">#REF!</definedName>
    <definedName name="PRINTC" localSheetId="0">#REF!</definedName>
    <definedName name="PRINTC">#REF!</definedName>
    <definedName name="PROPOSAL" localSheetId="0">#REF!</definedName>
    <definedName name="PROPOSAL">#REF!</definedName>
    <definedName name="ra11p">#REF!</definedName>
    <definedName name="ra13p">#REF!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SCH">#REF!</definedName>
    <definedName name="SDMONG">#REF!</definedName>
    <definedName name="SIZE">#REF!</definedName>
    <definedName name="SL_CRD">#REF!</definedName>
    <definedName name="SL_CRS">#REF!</definedName>
    <definedName name="SL_CS">#REF!</definedName>
    <definedName name="SL_DD">#REF!</definedName>
    <definedName name="soc3p">#REF!</definedName>
    <definedName name="SORT" localSheetId="0">#REF!</definedName>
    <definedName name="SORT">#REF!</definedName>
    <definedName name="SPEC">#REF!</definedName>
    <definedName name="SPECSUMMARY" localSheetId="0">#REF!</definedName>
    <definedName name="SPECSUMMARY">#REF!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 localSheetId="0">#REF!</definedName>
    <definedName name="SUMMARY">#REF!</definedName>
    <definedName name="T">#REF!</definedName>
    <definedName name="t101p">#REF!</definedName>
    <definedName name="t103p">#REF!</definedName>
    <definedName name="t10nc1p">#REF!</definedName>
    <definedName name="t10vl1p">#REF!</definedName>
    <definedName name="t121p">#REF!</definedName>
    <definedName name="t123p">#REF!</definedName>
    <definedName name="t141p">#REF!</definedName>
    <definedName name="t143p">#REF!</definedName>
    <definedName name="t14nc3p">#REF!</definedName>
    <definedName name="t14vl3p">#REF!</definedName>
    <definedName name="tbtram">#REF!</definedName>
    <definedName name="TC">#REF!</definedName>
    <definedName name="TC_NHANH1">#REF!</definedName>
    <definedName name="td1p">#REF!</definedName>
    <definedName name="td3p">#REF!</definedName>
    <definedName name="tdnc1p">#REF!</definedName>
    <definedName name="tdtr2cnc">#REF!</definedName>
    <definedName name="tdtr2cvl">#REF!</definedName>
    <definedName name="tdvl1p">#REF!</definedName>
    <definedName name="TITAN">#REF!</definedName>
    <definedName name="TLAC120">#REF!</definedName>
    <definedName name="TLAC35">#REF!</definedName>
    <definedName name="TLAC50">#REF!</definedName>
    <definedName name="TLAC70">#REF!</definedName>
    <definedName name="TLAC95">#REF!</definedName>
    <definedName name="TPLRP">#REF!</definedName>
    <definedName name="TT_1P">#REF!</definedName>
    <definedName name="TT_3p">#REF!</definedName>
    <definedName name="ttronmk">#REF!</definedName>
    <definedName name="tv75nc">#REF!</definedName>
    <definedName name="tv75vl">#REF!</definedName>
    <definedName name="THGO1pnc">#REF!</definedName>
    <definedName name="thht">#REF!</definedName>
    <definedName name="thkp3">#REF!</definedName>
    <definedName name="thtt">#REF!</definedName>
    <definedName name="TRADE2">#REF!</definedName>
    <definedName name="VARIINST">#REF!</definedName>
    <definedName name="VARIPURC">#REF!</definedName>
    <definedName name="VCTT">#REF!</definedName>
    <definedName name="VCHT">#REF!</definedName>
    <definedName name="vd3p">#REF!</definedName>
    <definedName name="vl1p">#REF!</definedName>
    <definedName name="vl3p">#REF!</definedName>
    <definedName name="vldn400">#REF!</definedName>
    <definedName name="vldn600">#REF!</definedName>
    <definedName name="vltram">#REF!</definedName>
    <definedName name="vr3p">#REF!</definedName>
    <definedName name="W" localSheetId="0">#REF!</definedName>
    <definedName name="W">#REF!</definedName>
    <definedName name="wrn.chi._.tiÆt." localSheetId="0" hidden="1">{#N/A,#N/A,FALSE,"Chi tiÆt"}</definedName>
    <definedName name="wrn.chi._.tiÆt." hidden="1">{#N/A,#N/A,FALSE,"Chi tiÆt"}</definedName>
    <definedName name="x" localSheetId="0">#REF!</definedName>
    <definedName name="X">#REF!</definedName>
    <definedName name="x1pind">#REF!</definedName>
    <definedName name="x1pint">#REF!</definedName>
    <definedName name="x1ping">#REF!</definedName>
    <definedName name="XCCT">0.5</definedName>
    <definedName name="xfco">#REF!</definedName>
    <definedName name="xfco3p">#REF!</definedName>
    <definedName name="xfcotnc">#REF!</definedName>
    <definedName name="xfcotvl">#REF!</definedName>
    <definedName name="xhn">#REF!</definedName>
    <definedName name="xig">#REF!</definedName>
    <definedName name="xig1">#REF!</definedName>
    <definedName name="xig1p">#REF!</definedName>
    <definedName name="xig3p">#REF!</definedName>
    <definedName name="xignc3p">#REF!</definedName>
    <definedName name="xigvl3p">#REF!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nc3p">#REF!</definedName>
    <definedName name="xint1p">#REF!</definedName>
    <definedName name="xinvl3p">#REF!</definedName>
    <definedName name="xing1p">#REF!</definedName>
    <definedName name="xingnc1p">#REF!</definedName>
    <definedName name="xingvl1p">#REF!</definedName>
    <definedName name="xit">#REF!</definedName>
    <definedName name="xit1">#REF!</definedName>
    <definedName name="xit1p">#REF!</definedName>
    <definedName name="xit2nc3p">#REF!</definedName>
    <definedName name="xit2vl3p">#REF!</definedName>
    <definedName name="xit3p">#REF!</definedName>
    <definedName name="xitnc3p">#REF!</definedName>
    <definedName name="xitvl3p">#REF!</definedName>
    <definedName name="Z">#REF!</definedName>
    <definedName name="ZYX" localSheetId="0">#REF!</definedName>
    <definedName name="ZYX">#REF!</definedName>
    <definedName name="ZZZ" localSheetId="0">#REF!</definedName>
    <definedName name="ZZZ">#REF!</definedName>
  </definedNames>
  <calcPr calcId="191029"/>
</workbook>
</file>

<file path=xl/calcChain.xml><?xml version="1.0" encoding="utf-8"?>
<calcChain xmlns="http://schemas.openxmlformats.org/spreadsheetml/2006/main">
  <c r="AC48" i="12" l="1"/>
  <c r="G76" i="19" l="1"/>
  <c r="A5" i="21" l="1"/>
  <c r="H18" i="21"/>
  <c r="H17" i="21" s="1"/>
  <c r="G17" i="21"/>
  <c r="E17" i="21"/>
  <c r="D17" i="21"/>
  <c r="G16" i="21"/>
  <c r="E16" i="21"/>
  <c r="D16" i="21"/>
  <c r="H15" i="21"/>
  <c r="F15" i="21" s="1"/>
  <c r="H14" i="21"/>
  <c r="F14" i="21"/>
  <c r="H13" i="21"/>
  <c r="F13" i="21" s="1"/>
  <c r="G12" i="21"/>
  <c r="G11" i="21" s="1"/>
  <c r="G10" i="21" s="1"/>
  <c r="E12" i="21"/>
  <c r="E11" i="21" s="1"/>
  <c r="E10" i="21" s="1"/>
  <c r="D12" i="21"/>
  <c r="D11" i="21"/>
  <c r="D10" i="21" s="1"/>
  <c r="F12" i="21" l="1"/>
  <c r="F11" i="21" s="1"/>
  <c r="H12" i="21"/>
  <c r="H11" i="21" s="1"/>
  <c r="F18" i="21"/>
  <c r="H16" i="21"/>
  <c r="F10" i="21" l="1"/>
  <c r="H10" i="21"/>
  <c r="F17" i="21"/>
  <c r="F16" i="21"/>
  <c r="A3" i="20"/>
  <c r="R19" i="20"/>
  <c r="Q19" i="20"/>
  <c r="P19" i="20"/>
  <c r="O19" i="20"/>
  <c r="N19" i="20"/>
  <c r="M19" i="20"/>
  <c r="L19" i="20"/>
  <c r="K19" i="20"/>
  <c r="K7" i="20" s="1"/>
  <c r="J19" i="20"/>
  <c r="I19" i="20"/>
  <c r="H19" i="20"/>
  <c r="G19" i="20"/>
  <c r="F19" i="20"/>
  <c r="E19" i="20"/>
  <c r="D19" i="20"/>
  <c r="R18" i="20"/>
  <c r="Q18" i="20"/>
  <c r="R17" i="20"/>
  <c r="Q16" i="20"/>
  <c r="R16" i="20" s="1"/>
  <c r="Q15" i="20"/>
  <c r="R15" i="20" s="1"/>
  <c r="R14" i="20"/>
  <c r="R13" i="20"/>
  <c r="R12" i="20"/>
  <c r="Q11" i="20"/>
  <c r="R11" i="20" s="1"/>
  <c r="R10" i="20"/>
  <c r="Q9" i="20"/>
  <c r="R9" i="20" s="1"/>
  <c r="P8" i="20"/>
  <c r="P7" i="20" s="1"/>
  <c r="O8" i="20"/>
  <c r="N8" i="20"/>
  <c r="M8" i="20"/>
  <c r="L8" i="20"/>
  <c r="L7" i="20" s="1"/>
  <c r="K8" i="20"/>
  <c r="J8" i="20"/>
  <c r="J7" i="20" s="1"/>
  <c r="I8" i="20"/>
  <c r="I7" i="20" s="1"/>
  <c r="H8" i="20"/>
  <c r="H7" i="20" s="1"/>
  <c r="G8" i="20"/>
  <c r="F8" i="20"/>
  <c r="E8" i="20"/>
  <c r="E7" i="20" s="1"/>
  <c r="D8" i="20"/>
  <c r="D7" i="20" s="1"/>
  <c r="N7" i="20"/>
  <c r="F7" i="20"/>
  <c r="A3" i="19"/>
  <c r="G88" i="19"/>
  <c r="G87" i="19" s="1"/>
  <c r="G86" i="19" s="1"/>
  <c r="F88" i="19"/>
  <c r="F87" i="19" s="1"/>
  <c r="F86" i="19" s="1"/>
  <c r="E88" i="19"/>
  <c r="D88" i="19"/>
  <c r="E87" i="19"/>
  <c r="D87" i="19"/>
  <c r="E86" i="19"/>
  <c r="D86" i="19"/>
  <c r="G78" i="19"/>
  <c r="G77" i="19" s="1"/>
  <c r="F78" i="19"/>
  <c r="F77" i="19" s="1"/>
  <c r="E78" i="19"/>
  <c r="D78" i="19"/>
  <c r="E77" i="19"/>
  <c r="D77" i="19"/>
  <c r="G63" i="19"/>
  <c r="G62" i="19" s="1"/>
  <c r="F63" i="19"/>
  <c r="E63" i="19"/>
  <c r="E62" i="19" s="1"/>
  <c r="E61" i="19" s="1"/>
  <c r="D63" i="19"/>
  <c r="F62" i="19"/>
  <c r="D62" i="19"/>
  <c r="G55" i="19"/>
  <c r="F55" i="19"/>
  <c r="E55" i="19"/>
  <c r="E54" i="19" s="1"/>
  <c r="D55" i="19"/>
  <c r="D54" i="19" s="1"/>
  <c r="G54" i="19"/>
  <c r="F54" i="19"/>
  <c r="G49" i="19"/>
  <c r="G48" i="19" s="1"/>
  <c r="G47" i="19" s="1"/>
  <c r="G46" i="19" s="1"/>
  <c r="F48" i="19"/>
  <c r="F47" i="19" s="1"/>
  <c r="F46" i="19" s="1"/>
  <c r="E48" i="19"/>
  <c r="E47" i="19" s="1"/>
  <c r="D48" i="19"/>
  <c r="D47" i="19" s="1"/>
  <c r="G38" i="19"/>
  <c r="F38" i="19"/>
  <c r="E38" i="19"/>
  <c r="D38" i="19"/>
  <c r="G34" i="19"/>
  <c r="F34" i="19"/>
  <c r="F33" i="19" s="1"/>
  <c r="E34" i="19"/>
  <c r="E33" i="19" s="1"/>
  <c r="D34" i="19"/>
  <c r="D33" i="19" s="1"/>
  <c r="G33" i="19"/>
  <c r="G32" i="19"/>
  <c r="G31" i="19"/>
  <c r="G10" i="19" s="1"/>
  <c r="G9" i="19" s="1"/>
  <c r="E21" i="19"/>
  <c r="E10" i="19" s="1"/>
  <c r="E9" i="19" s="1"/>
  <c r="F10" i="19"/>
  <c r="F9" i="19" s="1"/>
  <c r="D10" i="19"/>
  <c r="D9" i="19" s="1"/>
  <c r="F61" i="19" l="1"/>
  <c r="M7" i="20"/>
  <c r="G61" i="19"/>
  <c r="O7" i="20"/>
  <c r="E8" i="19"/>
  <c r="D61" i="19"/>
  <c r="D46" i="19"/>
  <c r="G7" i="20"/>
  <c r="G8" i="19"/>
  <c r="G7" i="19" s="1"/>
  <c r="Q8" i="20"/>
  <c r="Q7" i="20" s="1"/>
  <c r="R8" i="20"/>
  <c r="R7" i="20" s="1"/>
  <c r="E46" i="19"/>
  <c r="E7" i="19" s="1"/>
  <c r="D8" i="19"/>
  <c r="F8" i="19"/>
  <c r="F7" i="19" s="1"/>
  <c r="D7" i="19" l="1"/>
  <c r="A3" i="14"/>
  <c r="A3" i="12"/>
  <c r="AC55" i="12" l="1"/>
  <c r="AC33" i="12" l="1"/>
  <c r="AC81" i="12" s="1"/>
  <c r="U33" i="12"/>
  <c r="T33" i="12" l="1"/>
  <c r="T21" i="12" s="1"/>
  <c r="R69" i="12"/>
  <c r="S69" i="12"/>
  <c r="E44" i="12" l="1"/>
  <c r="E43" i="12" s="1"/>
  <c r="F44" i="12"/>
  <c r="F43" i="12" s="1"/>
  <c r="G44" i="12"/>
  <c r="G43" i="12" s="1"/>
  <c r="I44" i="12"/>
  <c r="I43" i="12" s="1"/>
  <c r="J44" i="12"/>
  <c r="K44" i="12"/>
  <c r="K43" i="12" s="1"/>
  <c r="L44" i="12"/>
  <c r="L43" i="12"/>
  <c r="M44" i="12"/>
  <c r="N44" i="12"/>
  <c r="N43" i="12" s="1"/>
  <c r="O44" i="12"/>
  <c r="O43" i="12" s="1"/>
  <c r="P44" i="12"/>
  <c r="P43" i="12" s="1"/>
  <c r="Q44" i="12"/>
  <c r="R44" i="12"/>
  <c r="R43" i="12" s="1"/>
  <c r="S44" i="12"/>
  <c r="T44" i="12"/>
  <c r="T43" i="12" s="1"/>
  <c r="U44" i="12"/>
  <c r="U43" i="12" s="1"/>
  <c r="V44" i="12"/>
  <c r="Q43" i="12"/>
  <c r="S43" i="12"/>
  <c r="AD81" i="12"/>
  <c r="AB81" i="12"/>
  <c r="U81" i="12"/>
  <c r="R81" i="12"/>
  <c r="E13" i="14"/>
  <c r="F13" i="14"/>
  <c r="G13" i="14"/>
  <c r="H13" i="14"/>
  <c r="J13" i="14"/>
  <c r="K13" i="14"/>
  <c r="L13" i="14"/>
  <c r="M13" i="14"/>
  <c r="N13" i="14"/>
  <c r="N7" i="14" s="1"/>
  <c r="O13" i="14"/>
  <c r="O7" i="14" s="1"/>
  <c r="P13" i="14"/>
  <c r="Q13" i="14"/>
  <c r="Q7" i="14" s="1"/>
  <c r="R13" i="14"/>
  <c r="S13" i="14"/>
  <c r="T13" i="14"/>
  <c r="U13" i="14"/>
  <c r="V13" i="14"/>
  <c r="D13" i="14"/>
  <c r="E10" i="14"/>
  <c r="E7" i="14" s="1"/>
  <c r="F10" i="14"/>
  <c r="F7" i="14" s="1"/>
  <c r="G10" i="14"/>
  <c r="G7" i="14" s="1"/>
  <c r="H10" i="14"/>
  <c r="I10" i="14"/>
  <c r="J10" i="14"/>
  <c r="J7" i="14" s="1"/>
  <c r="K10" i="14"/>
  <c r="L10" i="14"/>
  <c r="M10" i="14"/>
  <c r="M7" i="14" s="1"/>
  <c r="N10" i="14"/>
  <c r="O10" i="14"/>
  <c r="P10" i="14"/>
  <c r="Q10" i="14"/>
  <c r="R10" i="14"/>
  <c r="S10" i="14"/>
  <c r="T10" i="14"/>
  <c r="U10" i="14"/>
  <c r="U7" i="14" s="1"/>
  <c r="V10" i="14"/>
  <c r="V7" i="14" s="1"/>
  <c r="D10" i="14"/>
  <c r="S7" i="14" l="1"/>
  <c r="D7" i="14"/>
  <c r="K7" i="14"/>
  <c r="R7" i="14"/>
  <c r="T7" i="14"/>
  <c r="P7" i="14"/>
  <c r="L7" i="14"/>
  <c r="H7" i="14"/>
  <c r="D140" i="12" l="1"/>
  <c r="C140" i="12" s="1"/>
  <c r="D139" i="12"/>
  <c r="C139" i="12" s="1"/>
  <c r="AD138" i="12"/>
  <c r="AD137" i="12" s="1"/>
  <c r="AC138" i="12"/>
  <c r="AB138" i="12"/>
  <c r="AA138" i="12"/>
  <c r="AA137" i="12" s="1"/>
  <c r="Z138" i="12"/>
  <c r="Y138" i="12"/>
  <c r="X138" i="12"/>
  <c r="W138" i="12"/>
  <c r="W137" i="12" s="1"/>
  <c r="V138" i="12"/>
  <c r="V137" i="12" s="1"/>
  <c r="U138" i="12"/>
  <c r="T138" i="12"/>
  <c r="T137" i="12" s="1"/>
  <c r="S138" i="12"/>
  <c r="S137" i="12" s="1"/>
  <c r="R138" i="12"/>
  <c r="R137" i="12" s="1"/>
  <c r="Q138" i="12"/>
  <c r="P138" i="12"/>
  <c r="O138" i="12"/>
  <c r="O137" i="12" s="1"/>
  <c r="N138" i="12"/>
  <c r="N137" i="12" s="1"/>
  <c r="M138" i="12"/>
  <c r="L138" i="12"/>
  <c r="L137" i="12" s="1"/>
  <c r="K138" i="12"/>
  <c r="K137" i="12" s="1"/>
  <c r="J138" i="12"/>
  <c r="J137" i="12" s="1"/>
  <c r="I138" i="12"/>
  <c r="I137" i="12" s="1"/>
  <c r="H138" i="12"/>
  <c r="H137" i="12" s="1"/>
  <c r="G138" i="12"/>
  <c r="G137" i="12" s="1"/>
  <c r="F138" i="12"/>
  <c r="F137" i="12" s="1"/>
  <c r="E138" i="12"/>
  <c r="AC137" i="12"/>
  <c r="AB137" i="12"/>
  <c r="Z137" i="12"/>
  <c r="Y137" i="12"/>
  <c r="X137" i="12"/>
  <c r="U137" i="12"/>
  <c r="Q137" i="12"/>
  <c r="P137" i="12"/>
  <c r="M137" i="12"/>
  <c r="E137" i="12"/>
  <c r="D136" i="12"/>
  <c r="C136" i="12" s="1"/>
  <c r="D135" i="12"/>
  <c r="C135" i="12" s="1"/>
  <c r="AD134" i="12"/>
  <c r="AD132" i="12" s="1"/>
  <c r="AC134" i="12"/>
  <c r="AC132" i="12" s="1"/>
  <c r="AB134" i="12"/>
  <c r="AB132" i="12" s="1"/>
  <c r="AA134" i="12"/>
  <c r="AA132" i="12" s="1"/>
  <c r="Z134" i="12"/>
  <c r="Y134" i="12"/>
  <c r="X134" i="12"/>
  <c r="X132" i="12" s="1"/>
  <c r="W134" i="12"/>
  <c r="W132" i="12" s="1"/>
  <c r="V134" i="12"/>
  <c r="U134" i="12"/>
  <c r="T134" i="12"/>
  <c r="T132" i="12" s="1"/>
  <c r="S134" i="12"/>
  <c r="S132" i="12" s="1"/>
  <c r="R134" i="12"/>
  <c r="R132" i="12" s="1"/>
  <c r="Q134" i="12"/>
  <c r="P134" i="12"/>
  <c r="P132" i="12" s="1"/>
  <c r="O134" i="12"/>
  <c r="O132" i="12" s="1"/>
  <c r="N134" i="12"/>
  <c r="M134" i="12"/>
  <c r="L134" i="12"/>
  <c r="L132" i="12" s="1"/>
  <c r="K134" i="12"/>
  <c r="K132" i="12" s="1"/>
  <c r="J134" i="12"/>
  <c r="I134" i="12"/>
  <c r="H134" i="12"/>
  <c r="H132" i="12" s="1"/>
  <c r="G134" i="12"/>
  <c r="G132" i="12" s="1"/>
  <c r="F134" i="12"/>
  <c r="F132" i="12" s="1"/>
  <c r="E134" i="12"/>
  <c r="E132" i="12" s="1"/>
  <c r="D133" i="12"/>
  <c r="C133" i="12" s="1"/>
  <c r="Z132" i="12"/>
  <c r="Y132" i="12"/>
  <c r="V132" i="12"/>
  <c r="U132" i="12"/>
  <c r="Q132" i="12"/>
  <c r="N132" i="12"/>
  <c r="M132" i="12"/>
  <c r="J132" i="12"/>
  <c r="I132" i="12"/>
  <c r="D131" i="12"/>
  <c r="C131" i="12"/>
  <c r="D130" i="12"/>
  <c r="C130" i="12" s="1"/>
  <c r="AD129" i="12"/>
  <c r="AC129" i="12"/>
  <c r="AB129" i="12"/>
  <c r="AA129" i="12"/>
  <c r="Z129" i="12"/>
  <c r="Y129" i="12"/>
  <c r="X129" i="12"/>
  <c r="W129" i="12"/>
  <c r="V129" i="12"/>
  <c r="U129" i="12"/>
  <c r="T129" i="12"/>
  <c r="S129" i="12"/>
  <c r="R129" i="12"/>
  <c r="Q129" i="12"/>
  <c r="P129" i="12"/>
  <c r="O129" i="12"/>
  <c r="N129" i="12"/>
  <c r="M129" i="12"/>
  <c r="L129" i="12"/>
  <c r="K129" i="12"/>
  <c r="J129" i="12"/>
  <c r="I129" i="12"/>
  <c r="H129" i="12"/>
  <c r="G129" i="12"/>
  <c r="F129" i="12"/>
  <c r="E129" i="12"/>
  <c r="D128" i="12"/>
  <c r="C128" i="12" s="1"/>
  <c r="D127" i="12"/>
  <c r="C127" i="12" s="1"/>
  <c r="AD126" i="12"/>
  <c r="AC126" i="12"/>
  <c r="AB126" i="12"/>
  <c r="AA126" i="12"/>
  <c r="Z126" i="12"/>
  <c r="Y126" i="12"/>
  <c r="X126" i="12"/>
  <c r="W126" i="12"/>
  <c r="V126" i="12"/>
  <c r="U126" i="12"/>
  <c r="T126" i="12"/>
  <c r="S126" i="12"/>
  <c r="R126" i="12"/>
  <c r="Q126" i="12"/>
  <c r="P126" i="12"/>
  <c r="O126" i="12"/>
  <c r="N126" i="12"/>
  <c r="M126" i="12"/>
  <c r="L126" i="12"/>
  <c r="K126" i="12"/>
  <c r="J126" i="12"/>
  <c r="I126" i="12"/>
  <c r="H126" i="12"/>
  <c r="G126" i="12"/>
  <c r="F126" i="12"/>
  <c r="E126" i="12"/>
  <c r="D125" i="12"/>
  <c r="C125" i="12"/>
  <c r="D124" i="12"/>
  <c r="C124" i="12" s="1"/>
  <c r="D123" i="12"/>
  <c r="C123" i="12"/>
  <c r="D122" i="12"/>
  <c r="C122" i="12" s="1"/>
  <c r="D121" i="12"/>
  <c r="C121" i="12" s="1"/>
  <c r="AD120" i="12"/>
  <c r="AC120" i="12"/>
  <c r="AB120" i="12"/>
  <c r="AB119" i="12" s="1"/>
  <c r="AA120" i="12"/>
  <c r="AA119" i="12" s="1"/>
  <c r="Z120" i="12"/>
  <c r="Y120" i="12"/>
  <c r="X120" i="12"/>
  <c r="W120" i="12"/>
  <c r="W119" i="12" s="1"/>
  <c r="V120" i="12"/>
  <c r="V119" i="12" s="1"/>
  <c r="U120" i="12"/>
  <c r="T120" i="12"/>
  <c r="T119" i="12" s="1"/>
  <c r="S120" i="12"/>
  <c r="S119" i="12" s="1"/>
  <c r="R120" i="12"/>
  <c r="Q120" i="12"/>
  <c r="Q119" i="12" s="1"/>
  <c r="P120" i="12"/>
  <c r="P119" i="12" s="1"/>
  <c r="O120" i="12"/>
  <c r="O119" i="12" s="1"/>
  <c r="N120" i="12"/>
  <c r="M120" i="12"/>
  <c r="M119" i="12" s="1"/>
  <c r="L120" i="12"/>
  <c r="L119" i="12" s="1"/>
  <c r="K120" i="12"/>
  <c r="K119" i="12" s="1"/>
  <c r="J120" i="12"/>
  <c r="J119" i="12" s="1"/>
  <c r="I120" i="12"/>
  <c r="I119" i="12" s="1"/>
  <c r="H120" i="12"/>
  <c r="H119" i="12" s="1"/>
  <c r="G120" i="12"/>
  <c r="F120" i="12"/>
  <c r="E120" i="12"/>
  <c r="AD119" i="12"/>
  <c r="AC119" i="12"/>
  <c r="Z119" i="12"/>
  <c r="Y119" i="12"/>
  <c r="X119" i="12"/>
  <c r="U119" i="12"/>
  <c r="R119" i="12"/>
  <c r="N119" i="12"/>
  <c r="F119" i="12"/>
  <c r="F111" i="12" s="1"/>
  <c r="F109" i="12" s="1"/>
  <c r="E119" i="12"/>
  <c r="D118" i="12"/>
  <c r="C118" i="12"/>
  <c r="D117" i="12"/>
  <c r="C117" i="12"/>
  <c r="AD116" i="12"/>
  <c r="AC116" i="12"/>
  <c r="AB116" i="12"/>
  <c r="AA116" i="12"/>
  <c r="Z116" i="12"/>
  <c r="Y116" i="12"/>
  <c r="X116" i="12"/>
  <c r="W116" i="12"/>
  <c r="V116" i="12"/>
  <c r="U116" i="12"/>
  <c r="T116" i="12"/>
  <c r="S116" i="12"/>
  <c r="R116" i="12"/>
  <c r="Q116" i="12"/>
  <c r="P116" i="12"/>
  <c r="O116" i="12"/>
  <c r="N116" i="12"/>
  <c r="M116" i="12"/>
  <c r="L116" i="12"/>
  <c r="K116" i="12"/>
  <c r="J116" i="12"/>
  <c r="I116" i="12"/>
  <c r="H116" i="12"/>
  <c r="G116" i="12"/>
  <c r="F116" i="12"/>
  <c r="E116" i="12"/>
  <c r="D115" i="12"/>
  <c r="C115" i="12" s="1"/>
  <c r="D114" i="12"/>
  <c r="C114" i="12"/>
  <c r="D113" i="12"/>
  <c r="C113" i="12" s="1"/>
  <c r="AD112" i="12"/>
  <c r="AC112" i="12"/>
  <c r="AB112" i="12"/>
  <c r="AA112" i="12"/>
  <c r="Z112" i="12"/>
  <c r="Y112" i="12"/>
  <c r="X112" i="12"/>
  <c r="W112" i="12"/>
  <c r="V112" i="12"/>
  <c r="U112" i="12"/>
  <c r="T112" i="12"/>
  <c r="S112" i="12"/>
  <c r="R112" i="12"/>
  <c r="Q112" i="12"/>
  <c r="P112" i="12"/>
  <c r="O112" i="12"/>
  <c r="N112" i="12"/>
  <c r="M112" i="12"/>
  <c r="L112" i="12"/>
  <c r="K112" i="12"/>
  <c r="J112" i="12"/>
  <c r="I112" i="12"/>
  <c r="H112" i="12"/>
  <c r="G112" i="12"/>
  <c r="F112" i="12"/>
  <c r="E112" i="12"/>
  <c r="D110" i="12"/>
  <c r="C110" i="12" s="1"/>
  <c r="D108" i="12"/>
  <c r="C108" i="12"/>
  <c r="D107" i="12"/>
  <c r="C107" i="12" s="1"/>
  <c r="D106" i="12"/>
  <c r="C106" i="12"/>
  <c r="AD105" i="12"/>
  <c r="AC105" i="12"/>
  <c r="AB105" i="12"/>
  <c r="AA105" i="12"/>
  <c r="Z105" i="12"/>
  <c r="Y105" i="12"/>
  <c r="X105" i="12"/>
  <c r="W105" i="12"/>
  <c r="V105" i="12"/>
  <c r="U105" i="12"/>
  <c r="T105" i="12"/>
  <c r="S105" i="12"/>
  <c r="R105" i="12"/>
  <c r="Q105" i="12"/>
  <c r="P105" i="12"/>
  <c r="O105" i="12"/>
  <c r="N105" i="12"/>
  <c r="M105" i="12"/>
  <c r="L105" i="12"/>
  <c r="K105" i="12"/>
  <c r="J105" i="12"/>
  <c r="I105" i="12"/>
  <c r="H105" i="12"/>
  <c r="G105" i="12"/>
  <c r="F105" i="12"/>
  <c r="E105" i="12"/>
  <c r="D104" i="12"/>
  <c r="C104" i="12"/>
  <c r="AD103" i="12"/>
  <c r="AC103" i="12"/>
  <c r="AB103" i="12"/>
  <c r="AA103" i="12"/>
  <c r="Z103" i="12"/>
  <c r="Y103" i="12"/>
  <c r="X103" i="12"/>
  <c r="W103" i="12"/>
  <c r="V103" i="12"/>
  <c r="U103" i="12"/>
  <c r="T103" i="12"/>
  <c r="S103" i="12"/>
  <c r="R103" i="12"/>
  <c r="Q103" i="12"/>
  <c r="P103" i="12"/>
  <c r="O103" i="12"/>
  <c r="N103" i="12"/>
  <c r="M103" i="12"/>
  <c r="L103" i="12"/>
  <c r="K103" i="12"/>
  <c r="J103" i="12"/>
  <c r="I103" i="12"/>
  <c r="H103" i="12"/>
  <c r="G103" i="12"/>
  <c r="F103" i="12"/>
  <c r="E103" i="12"/>
  <c r="D102" i="12"/>
  <c r="C102" i="12"/>
  <c r="D101" i="12"/>
  <c r="C101" i="12" s="1"/>
  <c r="D100" i="12"/>
  <c r="C100" i="12"/>
  <c r="D99" i="12"/>
  <c r="C99" i="12" s="1"/>
  <c r="AD98" i="12"/>
  <c r="AC98" i="12"/>
  <c r="AB98" i="12"/>
  <c r="AA98" i="12"/>
  <c r="Z98" i="12"/>
  <c r="Y98" i="12"/>
  <c r="X98" i="12"/>
  <c r="W98" i="12"/>
  <c r="V98" i="12"/>
  <c r="U98" i="12"/>
  <c r="T98" i="12"/>
  <c r="S98" i="12"/>
  <c r="R98" i="12"/>
  <c r="Q98" i="12"/>
  <c r="P98" i="12"/>
  <c r="O98" i="12"/>
  <c r="N98" i="12"/>
  <c r="M98" i="12"/>
  <c r="L98" i="12"/>
  <c r="K98" i="12"/>
  <c r="J98" i="12"/>
  <c r="I98" i="12"/>
  <c r="H98" i="12"/>
  <c r="G98" i="12"/>
  <c r="F98" i="12"/>
  <c r="E98" i="12"/>
  <c r="D97" i="12"/>
  <c r="C97" i="12"/>
  <c r="AD96" i="12"/>
  <c r="AC96" i="12"/>
  <c r="AB96" i="12"/>
  <c r="AA96" i="12"/>
  <c r="Z96" i="12"/>
  <c r="Y96" i="12"/>
  <c r="X96" i="12"/>
  <c r="W96" i="12"/>
  <c r="V96" i="12"/>
  <c r="U96" i="12"/>
  <c r="T96" i="12"/>
  <c r="S96" i="12"/>
  <c r="R96" i="12"/>
  <c r="Q96" i="12"/>
  <c r="P96" i="12"/>
  <c r="O96" i="12"/>
  <c r="N96" i="12"/>
  <c r="M96" i="12"/>
  <c r="L96" i="12"/>
  <c r="K96" i="12"/>
  <c r="J96" i="12"/>
  <c r="I96" i="12"/>
  <c r="H96" i="12"/>
  <c r="G96" i="12"/>
  <c r="F96" i="12"/>
  <c r="E96" i="12"/>
  <c r="D95" i="12"/>
  <c r="C95" i="12" s="1"/>
  <c r="AD94" i="12"/>
  <c r="AC94" i="12"/>
  <c r="AB94" i="12"/>
  <c r="AA94" i="12"/>
  <c r="Z94" i="12"/>
  <c r="Y94" i="12"/>
  <c r="X94" i="12"/>
  <c r="W94" i="12"/>
  <c r="V94" i="12"/>
  <c r="U94" i="12"/>
  <c r="T94" i="12"/>
  <c r="S94" i="12"/>
  <c r="R94" i="12"/>
  <c r="Q94" i="12"/>
  <c r="P94" i="12"/>
  <c r="O94" i="12"/>
  <c r="N94" i="12"/>
  <c r="M94" i="12"/>
  <c r="L94" i="12"/>
  <c r="K94" i="12"/>
  <c r="J94" i="12"/>
  <c r="I94" i="12"/>
  <c r="H94" i="12"/>
  <c r="G94" i="12"/>
  <c r="F94" i="12"/>
  <c r="E94" i="12"/>
  <c r="D93" i="12"/>
  <c r="C93" i="12" s="1"/>
  <c r="D92" i="12"/>
  <c r="C92" i="12" s="1"/>
  <c r="AD91" i="12"/>
  <c r="AC91" i="12"/>
  <c r="AB91" i="12"/>
  <c r="AA91" i="12"/>
  <c r="Z91" i="12"/>
  <c r="Y91" i="12"/>
  <c r="X91" i="12"/>
  <c r="W91" i="12"/>
  <c r="V91" i="12"/>
  <c r="U91" i="12"/>
  <c r="T91" i="12"/>
  <c r="S91" i="12"/>
  <c r="R91" i="12"/>
  <c r="Q91" i="12"/>
  <c r="P91" i="12"/>
  <c r="O91" i="12"/>
  <c r="N91" i="12"/>
  <c r="M91" i="12"/>
  <c r="L91" i="12"/>
  <c r="K91" i="12"/>
  <c r="J91" i="12"/>
  <c r="I91" i="12"/>
  <c r="H91" i="12"/>
  <c r="G91" i="12"/>
  <c r="F91" i="12"/>
  <c r="E91" i="12"/>
  <c r="D89" i="12"/>
  <c r="C89" i="12" s="1"/>
  <c r="AD85" i="12"/>
  <c r="AC85" i="12" s="1"/>
  <c r="D85" i="12" s="1"/>
  <c r="C85" i="12" s="1"/>
  <c r="AF85" i="12" s="1"/>
  <c r="D84" i="12"/>
  <c r="C84" i="12" s="1"/>
  <c r="D83" i="12"/>
  <c r="AC82" i="12"/>
  <c r="AF81" i="12" s="1"/>
  <c r="S81" i="12"/>
  <c r="Q81" i="12"/>
  <c r="P81" i="12"/>
  <c r="N81" i="12"/>
  <c r="M81" i="12"/>
  <c r="H81" i="12"/>
  <c r="F81" i="12"/>
  <c r="D80" i="12"/>
  <c r="C80" i="12"/>
  <c r="D79" i="12"/>
  <c r="C79" i="12" s="1"/>
  <c r="D78" i="12"/>
  <c r="C78" i="12" s="1"/>
  <c r="D77" i="12"/>
  <c r="C77" i="12" s="1"/>
  <c r="D76" i="12"/>
  <c r="C76" i="12" s="1"/>
  <c r="AD75" i="12"/>
  <c r="Q75" i="12"/>
  <c r="P75" i="12"/>
  <c r="D74" i="12"/>
  <c r="C74" i="12" s="1"/>
  <c r="D73" i="12"/>
  <c r="C73" i="12" s="1"/>
  <c r="D72" i="12"/>
  <c r="C72" i="12"/>
  <c r="G71" i="12"/>
  <c r="G69" i="12" s="1"/>
  <c r="F70" i="12"/>
  <c r="F69" i="12" s="1"/>
  <c r="D70" i="12"/>
  <c r="C70" i="12" s="1"/>
  <c r="P56" i="12"/>
  <c r="M56" i="12"/>
  <c r="F68" i="12"/>
  <c r="D68" i="12" s="1"/>
  <c r="C68" i="12" s="1"/>
  <c r="F67" i="12"/>
  <c r="D67" i="12" s="1"/>
  <c r="C67" i="12" s="1"/>
  <c r="F66" i="12"/>
  <c r="D66" i="12" s="1"/>
  <c r="C66" i="12" s="1"/>
  <c r="F65" i="12"/>
  <c r="D65" i="12" s="1"/>
  <c r="C65" i="12" s="1"/>
  <c r="F64" i="12"/>
  <c r="E62" i="12"/>
  <c r="D62" i="12"/>
  <c r="C62" i="12" s="1"/>
  <c r="D61" i="12"/>
  <c r="C61" i="12" s="1"/>
  <c r="D60" i="12"/>
  <c r="C60" i="12" s="1"/>
  <c r="D59" i="12"/>
  <c r="C59" i="12" s="1"/>
  <c r="D58" i="12"/>
  <c r="C58" i="12" s="1"/>
  <c r="AC57" i="12"/>
  <c r="AC56" i="12" s="1"/>
  <c r="R57" i="12"/>
  <c r="R56" i="12" s="1"/>
  <c r="Q57" i="12"/>
  <c r="Q56" i="12" s="1"/>
  <c r="O57" i="12"/>
  <c r="N57" i="12"/>
  <c r="N56" i="12" s="1"/>
  <c r="L57" i="12"/>
  <c r="L56" i="12" s="1"/>
  <c r="K57" i="12"/>
  <c r="K56" i="12" s="1"/>
  <c r="J57" i="12"/>
  <c r="J56" i="12" s="1"/>
  <c r="I57" i="12"/>
  <c r="I56" i="12" s="1"/>
  <c r="H57" i="12"/>
  <c r="H56" i="12" s="1"/>
  <c r="G57" i="12"/>
  <c r="S56" i="12"/>
  <c r="O56" i="12"/>
  <c r="D55" i="12"/>
  <c r="C55" i="12" s="1"/>
  <c r="D54" i="12"/>
  <c r="C54" i="12" s="1"/>
  <c r="J53" i="12"/>
  <c r="D53" i="12" s="1"/>
  <c r="C53" i="12" s="1"/>
  <c r="D52" i="12"/>
  <c r="C52" i="12" s="1"/>
  <c r="M51" i="12"/>
  <c r="AC50" i="12"/>
  <c r="X50" i="12"/>
  <c r="W50" i="12"/>
  <c r="D49" i="12"/>
  <c r="C49" i="12" s="1"/>
  <c r="D48" i="12"/>
  <c r="C48" i="12" s="1"/>
  <c r="D47" i="12"/>
  <c r="C47" i="12" s="1"/>
  <c r="H46" i="12"/>
  <c r="H44" i="12" s="1"/>
  <c r="D45" i="12"/>
  <c r="C45" i="12" s="1"/>
  <c r="AB44" i="12"/>
  <c r="AB43" i="12" s="1"/>
  <c r="AA44" i="12"/>
  <c r="AA43" i="12" s="1"/>
  <c r="Z44" i="12"/>
  <c r="Z43" i="12" s="1"/>
  <c r="Y44" i="12"/>
  <c r="X44" i="12"/>
  <c r="W44" i="12"/>
  <c r="W43" i="12" s="1"/>
  <c r="AD43" i="12"/>
  <c r="AC43" i="12"/>
  <c r="Y43" i="12"/>
  <c r="V43" i="12"/>
  <c r="J42" i="12"/>
  <c r="D42" i="12"/>
  <c r="C42" i="12" s="1"/>
  <c r="Y41" i="12"/>
  <c r="D41" i="12" s="1"/>
  <c r="C41" i="12" s="1"/>
  <c r="Y40" i="12"/>
  <c r="D40" i="12" s="1"/>
  <c r="C40" i="12" s="1"/>
  <c r="Y39" i="12"/>
  <c r="D39" i="12" s="1"/>
  <c r="C39" i="12" s="1"/>
  <c r="D38" i="12"/>
  <c r="C38" i="12" s="1"/>
  <c r="D37" i="12"/>
  <c r="C37" i="12"/>
  <c r="D36" i="12"/>
  <c r="C36" i="12" s="1"/>
  <c r="D35" i="12"/>
  <c r="C35" i="12" s="1"/>
  <c r="D34" i="12"/>
  <c r="C34" i="12" s="1"/>
  <c r="AB21" i="12"/>
  <c r="AA21" i="12"/>
  <c r="Z21" i="12"/>
  <c r="W21" i="12"/>
  <c r="V21" i="12"/>
  <c r="T14" i="12"/>
  <c r="R21" i="12"/>
  <c r="O21" i="12"/>
  <c r="N21" i="12"/>
  <c r="L21" i="12"/>
  <c r="K21" i="12"/>
  <c r="D32" i="12"/>
  <c r="C32" i="12" s="1"/>
  <c r="D31" i="12"/>
  <c r="C31" i="12" s="1"/>
  <c r="D30" i="12"/>
  <c r="C30" i="12" s="1"/>
  <c r="D29" i="12"/>
  <c r="C29" i="12" s="1"/>
  <c r="D28" i="12"/>
  <c r="C28" i="12" s="1"/>
  <c r="S27" i="12"/>
  <c r="D27" i="12" s="1"/>
  <c r="C27" i="12" s="1"/>
  <c r="D26" i="12"/>
  <c r="C26" i="12" s="1"/>
  <c r="D25" i="12"/>
  <c r="C25" i="12" s="1"/>
  <c r="D24" i="12"/>
  <c r="C24" i="12" s="1"/>
  <c r="S23" i="12"/>
  <c r="D23" i="12" s="1"/>
  <c r="C23" i="12" s="1"/>
  <c r="S22" i="12"/>
  <c r="S21" i="12" s="1"/>
  <c r="S14" i="12" s="1"/>
  <c r="S8" i="12" s="1"/>
  <c r="AC21" i="12"/>
  <c r="Y21" i="12"/>
  <c r="X21" i="12"/>
  <c r="U21" i="12"/>
  <c r="Q21" i="12"/>
  <c r="P21" i="12"/>
  <c r="M21" i="12"/>
  <c r="J21" i="12"/>
  <c r="I21" i="12"/>
  <c r="I14" i="12" s="1"/>
  <c r="H21" i="12"/>
  <c r="G21" i="12"/>
  <c r="F21" i="12"/>
  <c r="E21" i="12"/>
  <c r="D20" i="12"/>
  <c r="C20" i="12"/>
  <c r="Z19" i="12"/>
  <c r="D19" i="12" s="1"/>
  <c r="C19" i="12" s="1"/>
  <c r="D18" i="12"/>
  <c r="C18" i="12" s="1"/>
  <c r="D17" i="12"/>
  <c r="C17" i="12" s="1"/>
  <c r="D16" i="12"/>
  <c r="C16" i="12" s="1"/>
  <c r="AD15" i="12"/>
  <c r="AA15" i="12"/>
  <c r="D15" i="12" s="1"/>
  <c r="D13" i="12"/>
  <c r="C13" i="12" s="1"/>
  <c r="AD12" i="12"/>
  <c r="AD11" i="12" s="1"/>
  <c r="AD9" i="12" s="1"/>
  <c r="AB12" i="12"/>
  <c r="D12" i="12" s="1"/>
  <c r="D10" i="12"/>
  <c r="C10" i="12" s="1"/>
  <c r="V14" i="12" l="1"/>
  <c r="Z111" i="12"/>
  <c r="Z109" i="12" s="1"/>
  <c r="E90" i="12"/>
  <c r="D129" i="12"/>
  <c r="C129" i="12" s="1"/>
  <c r="D112" i="12"/>
  <c r="C112" i="12" s="1"/>
  <c r="AC111" i="12"/>
  <c r="AC109" i="12" s="1"/>
  <c r="R111" i="12"/>
  <c r="R109" i="12" s="1"/>
  <c r="AD111" i="12"/>
  <c r="AD109" i="12" s="1"/>
  <c r="D22" i="12"/>
  <c r="C22" i="12" s="1"/>
  <c r="U90" i="12"/>
  <c r="U88" i="12" s="1"/>
  <c r="U111" i="12"/>
  <c r="U109" i="12" s="1"/>
  <c r="J111" i="12"/>
  <c r="J109" i="12" s="1"/>
  <c r="V111" i="12"/>
  <c r="V109" i="12" s="1"/>
  <c r="O14" i="12"/>
  <c r="O8" i="12" s="1"/>
  <c r="J50" i="12"/>
  <c r="J43" i="12" s="1"/>
  <c r="D120" i="12"/>
  <c r="C120" i="12" s="1"/>
  <c r="P14" i="12"/>
  <c r="N111" i="12"/>
  <c r="N109" i="12" s="1"/>
  <c r="J14" i="12"/>
  <c r="D46" i="12"/>
  <c r="C46" i="12" s="1"/>
  <c r="D82" i="12"/>
  <c r="C82" i="12" s="1"/>
  <c r="K90" i="12"/>
  <c r="K88" i="12" s="1"/>
  <c r="S90" i="12"/>
  <c r="S88" i="12" s="1"/>
  <c r="W90" i="12"/>
  <c r="W88" i="12" s="1"/>
  <c r="AA90" i="12"/>
  <c r="AA88" i="12" s="1"/>
  <c r="M111" i="12"/>
  <c r="M109" i="12" s="1"/>
  <c r="D91" i="12"/>
  <c r="C91" i="12" s="1"/>
  <c r="I90" i="12"/>
  <c r="I88" i="12" s="1"/>
  <c r="M90" i="12"/>
  <c r="M88" i="12" s="1"/>
  <c r="M87" i="12" s="1"/>
  <c r="M86" i="12" s="1"/>
  <c r="Q90" i="12"/>
  <c r="Q88" i="12" s="1"/>
  <c r="Y90" i="12"/>
  <c r="Y88" i="12" s="1"/>
  <c r="AC90" i="12"/>
  <c r="AC88" i="12" s="1"/>
  <c r="AC87" i="12" s="1"/>
  <c r="AC86" i="12" s="1"/>
  <c r="AD14" i="12"/>
  <c r="C12" i="12"/>
  <c r="AB14" i="12"/>
  <c r="H43" i="12"/>
  <c r="H14" i="12" s="1"/>
  <c r="H8" i="12" s="1"/>
  <c r="D44" i="12"/>
  <c r="C44" i="12" s="1"/>
  <c r="L14" i="12"/>
  <c r="L8" i="12" s="1"/>
  <c r="I8" i="12"/>
  <c r="K14" i="12"/>
  <c r="K8" i="12" s="1"/>
  <c r="W14" i="12"/>
  <c r="W8" i="12" s="1"/>
  <c r="J8" i="12"/>
  <c r="V8" i="12"/>
  <c r="F90" i="12"/>
  <c r="F88" i="12" s="1"/>
  <c r="N90" i="12"/>
  <c r="N88" i="12" s="1"/>
  <c r="N87" i="12" s="1"/>
  <c r="N86" i="12" s="1"/>
  <c r="V90" i="12"/>
  <c r="V88" i="12" s="1"/>
  <c r="V87" i="12" s="1"/>
  <c r="V86" i="12" s="1"/>
  <c r="AD90" i="12"/>
  <c r="AD88" i="12" s="1"/>
  <c r="AD87" i="12" s="1"/>
  <c r="AD86" i="12" s="1"/>
  <c r="F87" i="12"/>
  <c r="F86" i="12" s="1"/>
  <c r="X43" i="12"/>
  <c r="D81" i="12"/>
  <c r="C81" i="12" s="1"/>
  <c r="D98" i="12"/>
  <c r="C98" i="12" s="1"/>
  <c r="O90" i="12"/>
  <c r="O88" i="12" s="1"/>
  <c r="D105" i="12"/>
  <c r="C105" i="12" s="1"/>
  <c r="K111" i="12"/>
  <c r="K109" i="12" s="1"/>
  <c r="O111" i="12"/>
  <c r="O109" i="12" s="1"/>
  <c r="D126" i="12"/>
  <c r="C126" i="12" s="1"/>
  <c r="I111" i="12"/>
  <c r="I109" i="12" s="1"/>
  <c r="Q111" i="12"/>
  <c r="Q109" i="12" s="1"/>
  <c r="Q87" i="12" s="1"/>
  <c r="Q86" i="12" s="1"/>
  <c r="Y111" i="12"/>
  <c r="Y109" i="12" s="1"/>
  <c r="Y87" i="12" s="1"/>
  <c r="Y86" i="12" s="1"/>
  <c r="D132" i="12"/>
  <c r="C132" i="12" s="1"/>
  <c r="J90" i="12"/>
  <c r="J88" i="12" s="1"/>
  <c r="R90" i="12"/>
  <c r="R88" i="12" s="1"/>
  <c r="Z90" i="12"/>
  <c r="Z88" i="12" s="1"/>
  <c r="Z87" i="12" s="1"/>
  <c r="Z86" i="12" s="1"/>
  <c r="AB11" i="12"/>
  <c r="AB9" i="12" s="1"/>
  <c r="D33" i="12"/>
  <c r="C33" i="12" s="1"/>
  <c r="D75" i="12"/>
  <c r="C75" i="12" s="1"/>
  <c r="C83" i="12"/>
  <c r="H90" i="12"/>
  <c r="H88" i="12" s="1"/>
  <c r="L90" i="12"/>
  <c r="L88" i="12" s="1"/>
  <c r="L87" i="12" s="1"/>
  <c r="L86" i="12" s="1"/>
  <c r="P90" i="12"/>
  <c r="P88" i="12" s="1"/>
  <c r="T90" i="12"/>
  <c r="T88" i="12" s="1"/>
  <c r="X90" i="12"/>
  <c r="X88" i="12" s="1"/>
  <c r="AB90" i="12"/>
  <c r="AB88" i="12" s="1"/>
  <c r="H111" i="12"/>
  <c r="H109" i="12" s="1"/>
  <c r="L111" i="12"/>
  <c r="L109" i="12" s="1"/>
  <c r="P111" i="12"/>
  <c r="P109" i="12" s="1"/>
  <c r="T111" i="12"/>
  <c r="T109" i="12" s="1"/>
  <c r="X111" i="12"/>
  <c r="X109" i="12" s="1"/>
  <c r="AB111" i="12"/>
  <c r="AB109" i="12" s="1"/>
  <c r="X14" i="12"/>
  <c r="X8" i="12" s="1"/>
  <c r="U14" i="12"/>
  <c r="U8" i="12" s="1"/>
  <c r="AC14" i="12"/>
  <c r="AC8" i="12" s="1"/>
  <c r="Z14" i="12"/>
  <c r="Z8" i="12" s="1"/>
  <c r="AA14" i="12"/>
  <c r="AA8" i="12" s="1"/>
  <c r="N14" i="12"/>
  <c r="N8" i="12" s="1"/>
  <c r="AD8" i="12"/>
  <c r="R14" i="12"/>
  <c r="R8" i="12" s="1"/>
  <c r="T8" i="12"/>
  <c r="P8" i="12"/>
  <c r="Q14" i="12"/>
  <c r="Q8" i="12" s="1"/>
  <c r="D11" i="12"/>
  <c r="Y14" i="12"/>
  <c r="Y8" i="12" s="1"/>
  <c r="F63" i="12"/>
  <c r="D64" i="12"/>
  <c r="C64" i="12" s="1"/>
  <c r="D116" i="12"/>
  <c r="C116" i="12" s="1"/>
  <c r="D71" i="12"/>
  <c r="C71" i="12" s="1"/>
  <c r="G56" i="12"/>
  <c r="G14" i="12" s="1"/>
  <c r="G8" i="12" s="1"/>
  <c r="D94" i="12"/>
  <c r="C94" i="12" s="1"/>
  <c r="D103" i="12"/>
  <c r="C103" i="12" s="1"/>
  <c r="G90" i="12"/>
  <c r="G88" i="12" s="1"/>
  <c r="C15" i="12"/>
  <c r="D51" i="12"/>
  <c r="C51" i="12" s="1"/>
  <c r="M50" i="12"/>
  <c r="D69" i="12"/>
  <c r="C69" i="12" s="1"/>
  <c r="E88" i="12"/>
  <c r="W111" i="12"/>
  <c r="W109" i="12" s="1"/>
  <c r="D137" i="12"/>
  <c r="C137" i="12" s="1"/>
  <c r="E56" i="12"/>
  <c r="E14" i="12" s="1"/>
  <c r="E8" i="12" s="1"/>
  <c r="D96" i="12"/>
  <c r="C96" i="12" s="1"/>
  <c r="D134" i="12"/>
  <c r="C134" i="12" s="1"/>
  <c r="S111" i="12"/>
  <c r="S109" i="12" s="1"/>
  <c r="AA111" i="12"/>
  <c r="AA109" i="12" s="1"/>
  <c r="AA87" i="12" s="1"/>
  <c r="AA86" i="12" s="1"/>
  <c r="D57" i="12"/>
  <c r="E111" i="12"/>
  <c r="G119" i="12"/>
  <c r="D119" i="12" s="1"/>
  <c r="C119" i="12" s="1"/>
  <c r="D138" i="12"/>
  <c r="C138" i="12" s="1"/>
  <c r="C61" i="14"/>
  <c r="V60" i="14"/>
  <c r="V59" i="14" s="1"/>
  <c r="U60" i="14"/>
  <c r="T60" i="14"/>
  <c r="T59" i="14" s="1"/>
  <c r="S60" i="14"/>
  <c r="S59" i="14" s="1"/>
  <c r="R60" i="14"/>
  <c r="R59" i="14" s="1"/>
  <c r="Q60" i="14"/>
  <c r="P60" i="14"/>
  <c r="P59" i="14" s="1"/>
  <c r="O60" i="14"/>
  <c r="N60" i="14"/>
  <c r="N59" i="14" s="1"/>
  <c r="M60" i="14"/>
  <c r="M59" i="14" s="1"/>
  <c r="L60" i="14"/>
  <c r="L59" i="14" s="1"/>
  <c r="K60" i="14"/>
  <c r="J60" i="14"/>
  <c r="I60" i="14"/>
  <c r="H60" i="14"/>
  <c r="H59" i="14" s="1"/>
  <c r="G60" i="14"/>
  <c r="G59" i="14" s="1"/>
  <c r="F60" i="14"/>
  <c r="F59" i="14" s="1"/>
  <c r="E60" i="14"/>
  <c r="D60" i="14"/>
  <c r="U59" i="14"/>
  <c r="Q59" i="14"/>
  <c r="O59" i="14"/>
  <c r="K59" i="14"/>
  <c r="J59" i="14"/>
  <c r="I59" i="14"/>
  <c r="E59" i="14"/>
  <c r="C58" i="14"/>
  <c r="V57" i="14"/>
  <c r="V56" i="14" s="1"/>
  <c r="U57" i="14"/>
  <c r="U56" i="14" s="1"/>
  <c r="T57" i="14"/>
  <c r="T56" i="14" s="1"/>
  <c r="S57" i="14"/>
  <c r="R57" i="14"/>
  <c r="R56" i="14" s="1"/>
  <c r="Q57" i="14"/>
  <c r="Q56" i="14" s="1"/>
  <c r="P57" i="14"/>
  <c r="P56" i="14" s="1"/>
  <c r="O57" i="14"/>
  <c r="O56" i="14" s="1"/>
  <c r="N57" i="14"/>
  <c r="N56" i="14" s="1"/>
  <c r="M57" i="14"/>
  <c r="L57" i="14"/>
  <c r="K57" i="14"/>
  <c r="J57" i="14"/>
  <c r="J56" i="14" s="1"/>
  <c r="I57" i="14"/>
  <c r="I56" i="14" s="1"/>
  <c r="H57" i="14"/>
  <c r="H56" i="14" s="1"/>
  <c r="G57" i="14"/>
  <c r="G56" i="14" s="1"/>
  <c r="F57" i="14"/>
  <c r="F56" i="14" s="1"/>
  <c r="E57" i="14"/>
  <c r="E56" i="14" s="1"/>
  <c r="D57" i="14"/>
  <c r="D56" i="14" s="1"/>
  <c r="S56" i="14"/>
  <c r="M56" i="14"/>
  <c r="L56" i="14"/>
  <c r="K56" i="14"/>
  <c r="C55" i="14"/>
  <c r="C54" i="14" s="1"/>
  <c r="V54" i="14"/>
  <c r="V52" i="14" s="1"/>
  <c r="V51" i="14" s="1"/>
  <c r="U54" i="14"/>
  <c r="U52" i="14" s="1"/>
  <c r="U51" i="14" s="1"/>
  <c r="T54" i="14"/>
  <c r="T52" i="14" s="1"/>
  <c r="T51" i="14" s="1"/>
  <c r="S54" i="14"/>
  <c r="S52" i="14" s="1"/>
  <c r="S51" i="14" s="1"/>
  <c r="R54" i="14"/>
  <c r="R52" i="14" s="1"/>
  <c r="R51" i="14" s="1"/>
  <c r="Q54" i="14"/>
  <c r="Q52" i="14" s="1"/>
  <c r="Q51" i="14" s="1"/>
  <c r="P54" i="14"/>
  <c r="O54" i="14"/>
  <c r="O52" i="14" s="1"/>
  <c r="O51" i="14" s="1"/>
  <c r="N54" i="14"/>
  <c r="N52" i="14" s="1"/>
  <c r="N51" i="14" s="1"/>
  <c r="M54" i="14"/>
  <c r="M52" i="14" s="1"/>
  <c r="M51" i="14" s="1"/>
  <c r="L54" i="14"/>
  <c r="K54" i="14"/>
  <c r="J54" i="14"/>
  <c r="J52" i="14" s="1"/>
  <c r="J51" i="14" s="1"/>
  <c r="I54" i="14"/>
  <c r="I52" i="14" s="1"/>
  <c r="I51" i="14" s="1"/>
  <c r="H54" i="14"/>
  <c r="H52" i="14" s="1"/>
  <c r="H51" i="14" s="1"/>
  <c r="G54" i="14"/>
  <c r="G52" i="14" s="1"/>
  <c r="G51" i="14" s="1"/>
  <c r="F54" i="14"/>
  <c r="F52" i="14" s="1"/>
  <c r="E54" i="14"/>
  <c r="D54" i="14"/>
  <c r="C53" i="14"/>
  <c r="P52" i="14"/>
  <c r="P51" i="14" s="1"/>
  <c r="L52" i="14"/>
  <c r="L51" i="14" s="1"/>
  <c r="K52" i="14"/>
  <c r="K51" i="14" s="1"/>
  <c r="E52" i="14"/>
  <c r="E51" i="14" s="1"/>
  <c r="D52" i="14"/>
  <c r="D51" i="14" s="1"/>
  <c r="C50" i="14"/>
  <c r="V49" i="14"/>
  <c r="U49" i="14"/>
  <c r="T49" i="14"/>
  <c r="S49" i="14"/>
  <c r="R49" i="14"/>
  <c r="Q49" i="14"/>
  <c r="Q46" i="14" s="1"/>
  <c r="Q45" i="14" s="1"/>
  <c r="Q44" i="14" s="1"/>
  <c r="Q43" i="14" s="1"/>
  <c r="Q19" i="14" s="1"/>
  <c r="P49" i="14"/>
  <c r="O49" i="14"/>
  <c r="N49" i="14"/>
  <c r="M49" i="14"/>
  <c r="L49" i="14"/>
  <c r="K49" i="14"/>
  <c r="J49" i="14"/>
  <c r="I49" i="14"/>
  <c r="H49" i="14"/>
  <c r="G49" i="14"/>
  <c r="F49" i="14"/>
  <c r="E49" i="14"/>
  <c r="E46" i="14" s="1"/>
  <c r="E45" i="14" s="1"/>
  <c r="D49" i="14"/>
  <c r="C48" i="14"/>
  <c r="V47" i="14"/>
  <c r="V46" i="14" s="1"/>
  <c r="V45" i="14" s="1"/>
  <c r="U47" i="14"/>
  <c r="T47" i="14"/>
  <c r="S47" i="14"/>
  <c r="S46" i="14" s="1"/>
  <c r="S45" i="14" s="1"/>
  <c r="R47" i="14"/>
  <c r="R46" i="14" s="1"/>
  <c r="R45" i="14" s="1"/>
  <c r="Q47" i="14"/>
  <c r="P47" i="14"/>
  <c r="O47" i="14"/>
  <c r="N47" i="14"/>
  <c r="N46" i="14" s="1"/>
  <c r="N45" i="14" s="1"/>
  <c r="M47" i="14"/>
  <c r="M46" i="14" s="1"/>
  <c r="M45" i="14" s="1"/>
  <c r="M44" i="14" s="1"/>
  <c r="L47" i="14"/>
  <c r="K47" i="14"/>
  <c r="K46" i="14" s="1"/>
  <c r="K45" i="14" s="1"/>
  <c r="J47" i="14"/>
  <c r="I47" i="14"/>
  <c r="H47" i="14"/>
  <c r="G47" i="14"/>
  <c r="G46" i="14" s="1"/>
  <c r="G45" i="14" s="1"/>
  <c r="F47" i="14"/>
  <c r="E47" i="14"/>
  <c r="D47" i="14"/>
  <c r="J46" i="14"/>
  <c r="J45" i="14" s="1"/>
  <c r="F46" i="14"/>
  <c r="F45" i="14" s="1"/>
  <c r="C42" i="14"/>
  <c r="C41" i="14"/>
  <c r="C40" i="14"/>
  <c r="C39" i="14"/>
  <c r="V38" i="14"/>
  <c r="U38" i="14"/>
  <c r="T38" i="14"/>
  <c r="S38" i="14"/>
  <c r="R38" i="14"/>
  <c r="Q38" i="14"/>
  <c r="P38" i="14"/>
  <c r="O38" i="14"/>
  <c r="N38" i="14"/>
  <c r="M38" i="14"/>
  <c r="L38" i="14"/>
  <c r="K38" i="14"/>
  <c r="J38" i="14"/>
  <c r="I38" i="14"/>
  <c r="H38" i="14"/>
  <c r="G38" i="14"/>
  <c r="F38" i="14"/>
  <c r="E38" i="14"/>
  <c r="D38" i="14"/>
  <c r="C37" i="14"/>
  <c r="C36" i="14"/>
  <c r="C35" i="14"/>
  <c r="V34" i="14"/>
  <c r="V23" i="14" s="1"/>
  <c r="U34" i="14"/>
  <c r="T34" i="14"/>
  <c r="S34" i="14"/>
  <c r="R34" i="14"/>
  <c r="Q34" i="14"/>
  <c r="P34" i="14"/>
  <c r="O34" i="14"/>
  <c r="O23" i="14" s="1"/>
  <c r="N34" i="14"/>
  <c r="N23" i="14" s="1"/>
  <c r="M34" i="14"/>
  <c r="L34" i="14"/>
  <c r="K34" i="14"/>
  <c r="J34" i="14"/>
  <c r="J23" i="14" s="1"/>
  <c r="I34" i="14"/>
  <c r="H34" i="14"/>
  <c r="G34" i="14"/>
  <c r="F34" i="14"/>
  <c r="E34" i="14"/>
  <c r="D34" i="14"/>
  <c r="C33" i="14"/>
  <c r="C32" i="14"/>
  <c r="C31" i="14"/>
  <c r="C30" i="14"/>
  <c r="C29" i="14"/>
  <c r="C28" i="14"/>
  <c r="C27" i="14"/>
  <c r="C26" i="14"/>
  <c r="C25" i="14"/>
  <c r="C24" i="14"/>
  <c r="V21" i="14"/>
  <c r="U21" i="14"/>
  <c r="T21" i="14"/>
  <c r="S21" i="14"/>
  <c r="R21" i="14"/>
  <c r="Q21" i="14"/>
  <c r="P21" i="14"/>
  <c r="O21" i="14"/>
  <c r="N21" i="14"/>
  <c r="M21" i="14"/>
  <c r="L21" i="14"/>
  <c r="K21" i="14"/>
  <c r="J21" i="14"/>
  <c r="H21" i="14"/>
  <c r="G21" i="14"/>
  <c r="F21" i="14"/>
  <c r="E21" i="14"/>
  <c r="D21" i="14"/>
  <c r="C16" i="14"/>
  <c r="C15" i="14"/>
  <c r="I14" i="14"/>
  <c r="C12" i="14"/>
  <c r="C11" i="14"/>
  <c r="C10" i="14"/>
  <c r="C9" i="14"/>
  <c r="C8" i="14"/>
  <c r="C36" i="10"/>
  <c r="I28" i="10"/>
  <c r="C28" i="10"/>
  <c r="H26" i="10"/>
  <c r="H28" i="10" s="1"/>
  <c r="G26" i="10"/>
  <c r="G28" i="10" s="1"/>
  <c r="F26" i="10"/>
  <c r="F28" i="10" s="1"/>
  <c r="C20" i="10"/>
  <c r="C35" i="10" s="1"/>
  <c r="C33" i="10" s="1"/>
  <c r="C19" i="10"/>
  <c r="C17" i="10"/>
  <c r="C10" i="10"/>
  <c r="C8" i="10"/>
  <c r="C7" i="10" s="1"/>
  <c r="U87" i="12" l="1"/>
  <c r="U86" i="12" s="1"/>
  <c r="R23" i="14"/>
  <c r="M43" i="14"/>
  <c r="M19" i="14" s="1"/>
  <c r="O46" i="14"/>
  <c r="O45" i="14" s="1"/>
  <c r="V7" i="12"/>
  <c r="K87" i="12"/>
  <c r="K86" i="12" s="1"/>
  <c r="E33" i="10"/>
  <c r="U7" i="12"/>
  <c r="S87" i="12"/>
  <c r="S86" i="12" s="1"/>
  <c r="S7" i="12" s="1"/>
  <c r="N7" i="12"/>
  <c r="R87" i="12"/>
  <c r="R86" i="12" s="1"/>
  <c r="F23" i="14"/>
  <c r="J87" i="12"/>
  <c r="J86" i="12" s="1"/>
  <c r="I46" i="14"/>
  <c r="I45" i="14" s="1"/>
  <c r="I44" i="14" s="1"/>
  <c r="I43" i="14" s="1"/>
  <c r="I19" i="14" s="1"/>
  <c r="U46" i="14"/>
  <c r="U45" i="14" s="1"/>
  <c r="AB8" i="12"/>
  <c r="G23" i="14"/>
  <c r="E44" i="14"/>
  <c r="E43" i="14" s="1"/>
  <c r="E19" i="14" s="1"/>
  <c r="C14" i="14"/>
  <c r="I13" i="14"/>
  <c r="U44" i="14"/>
  <c r="U43" i="14" s="1"/>
  <c r="U19" i="14" s="1"/>
  <c r="W87" i="12"/>
  <c r="W86" i="12" s="1"/>
  <c r="W7" i="12" s="1"/>
  <c r="K7" i="12"/>
  <c r="R7" i="12"/>
  <c r="I87" i="12"/>
  <c r="I86" i="12" s="1"/>
  <c r="I7" i="12" s="1"/>
  <c r="L7" i="12"/>
  <c r="P87" i="12"/>
  <c r="P86" i="12" s="1"/>
  <c r="P7" i="12" s="1"/>
  <c r="O87" i="12"/>
  <c r="O86" i="12" s="1"/>
  <c r="O7" i="12" s="1"/>
  <c r="AB87" i="12"/>
  <c r="AB86" i="12" s="1"/>
  <c r="AB7" i="12" s="1"/>
  <c r="AD7" i="12"/>
  <c r="D21" i="12"/>
  <c r="C21" i="12" s="1"/>
  <c r="Y7" i="12"/>
  <c r="Z7" i="12"/>
  <c r="X87" i="12"/>
  <c r="X86" i="12" s="1"/>
  <c r="X7" i="12" s="1"/>
  <c r="H87" i="12"/>
  <c r="H86" i="12" s="1"/>
  <c r="H7" i="12" s="1"/>
  <c r="Q7" i="12"/>
  <c r="AA7" i="12"/>
  <c r="AC7" i="12"/>
  <c r="T87" i="12"/>
  <c r="T86" i="12" s="1"/>
  <c r="T7" i="12" s="1"/>
  <c r="J7" i="12"/>
  <c r="C38" i="14"/>
  <c r="K23" i="14"/>
  <c r="K20" i="14" s="1"/>
  <c r="K18" i="14" s="1"/>
  <c r="S23" i="14"/>
  <c r="S20" i="14" s="1"/>
  <c r="S18" i="14" s="1"/>
  <c r="E23" i="14"/>
  <c r="I23" i="14"/>
  <c r="M23" i="14"/>
  <c r="M20" i="14" s="1"/>
  <c r="Q23" i="14"/>
  <c r="Q20" i="14" s="1"/>
  <c r="U23" i="14"/>
  <c r="E109" i="12"/>
  <c r="E87" i="12" s="1"/>
  <c r="D90" i="12"/>
  <c r="C90" i="12" s="1"/>
  <c r="G111" i="12"/>
  <c r="G109" i="12" s="1"/>
  <c r="C11" i="12"/>
  <c r="C9" i="12" s="1"/>
  <c r="D9" i="12"/>
  <c r="M43" i="12"/>
  <c r="M14" i="12" s="1"/>
  <c r="M8" i="12" s="1"/>
  <c r="M7" i="12" s="1"/>
  <c r="D50" i="12"/>
  <c r="G87" i="12"/>
  <c r="G86" i="12" s="1"/>
  <c r="G7" i="12" s="1"/>
  <c r="C57" i="12"/>
  <c r="D88" i="12"/>
  <c r="C88" i="12" s="1"/>
  <c r="F56" i="12"/>
  <c r="F14" i="12" s="1"/>
  <c r="F8" i="12" s="1"/>
  <c r="F7" i="12" s="1"/>
  <c r="D63" i="12"/>
  <c r="C63" i="12" s="1"/>
  <c r="G44" i="14"/>
  <c r="G43" i="14" s="1"/>
  <c r="R20" i="14"/>
  <c r="K44" i="14"/>
  <c r="K43" i="14" s="1"/>
  <c r="K19" i="14" s="1"/>
  <c r="C49" i="14"/>
  <c r="H46" i="14"/>
  <c r="H45" i="14" s="1"/>
  <c r="H44" i="14" s="1"/>
  <c r="H43" i="14" s="1"/>
  <c r="H19" i="14" s="1"/>
  <c r="L46" i="14"/>
  <c r="L45" i="14" s="1"/>
  <c r="L44" i="14" s="1"/>
  <c r="L43" i="14" s="1"/>
  <c r="L19" i="14" s="1"/>
  <c r="P46" i="14"/>
  <c r="P45" i="14" s="1"/>
  <c r="P44" i="14" s="1"/>
  <c r="P43" i="14" s="1"/>
  <c r="P19" i="14" s="1"/>
  <c r="T46" i="14"/>
  <c r="T45" i="14" s="1"/>
  <c r="T44" i="14" s="1"/>
  <c r="T43" i="14" s="1"/>
  <c r="T19" i="14" s="1"/>
  <c r="O44" i="14"/>
  <c r="O43" i="14" s="1"/>
  <c r="O20" i="14" s="1"/>
  <c r="O18" i="14" s="1"/>
  <c r="J44" i="14"/>
  <c r="J43" i="14" s="1"/>
  <c r="J19" i="14" s="1"/>
  <c r="N44" i="14"/>
  <c r="N43" i="14" s="1"/>
  <c r="N19" i="14" s="1"/>
  <c r="R44" i="14"/>
  <c r="R43" i="14" s="1"/>
  <c r="R19" i="14" s="1"/>
  <c r="V44" i="14"/>
  <c r="V43" i="14" s="1"/>
  <c r="V19" i="14" s="1"/>
  <c r="S44" i="14"/>
  <c r="S43" i="14" s="1"/>
  <c r="S19" i="14" s="1"/>
  <c r="C60" i="14"/>
  <c r="C59" i="14" s="1"/>
  <c r="C34" i="14"/>
  <c r="H23" i="14"/>
  <c r="H20" i="14" s="1"/>
  <c r="L23" i="14"/>
  <c r="L20" i="14" s="1"/>
  <c r="P23" i="14"/>
  <c r="T23" i="14"/>
  <c r="C47" i="14"/>
  <c r="D59" i="14"/>
  <c r="C56" i="14"/>
  <c r="C57" i="14"/>
  <c r="F51" i="14"/>
  <c r="C52" i="14"/>
  <c r="G20" i="14"/>
  <c r="G19" i="14"/>
  <c r="D23" i="14"/>
  <c r="I22" i="14"/>
  <c r="D46" i="14"/>
  <c r="F33" i="10"/>
  <c r="C32" i="10"/>
  <c r="E32" i="10" s="1"/>
  <c r="P20" i="14" l="1"/>
  <c r="U20" i="14"/>
  <c r="I7" i="14"/>
  <c r="C13" i="14"/>
  <c r="C7" i="14" s="1"/>
  <c r="T20" i="14"/>
  <c r="T18" i="14" s="1"/>
  <c r="T17" i="14" s="1"/>
  <c r="T6" i="14" s="1"/>
  <c r="E20" i="14"/>
  <c r="E18" i="14" s="1"/>
  <c r="E17" i="14" s="1"/>
  <c r="E6" i="14" s="1"/>
  <c r="L18" i="14"/>
  <c r="L17" i="14" s="1"/>
  <c r="L6" i="14" s="1"/>
  <c r="P18" i="14"/>
  <c r="P17" i="14" s="1"/>
  <c r="P6" i="14" s="1"/>
  <c r="U18" i="14"/>
  <c r="U17" i="14" s="1"/>
  <c r="U6" i="14" s="1"/>
  <c r="G18" i="14"/>
  <c r="G17" i="14" s="1"/>
  <c r="G6" i="14" s="1"/>
  <c r="H18" i="14"/>
  <c r="H17" i="14" s="1"/>
  <c r="H6" i="14" s="1"/>
  <c r="Q18" i="14"/>
  <c r="Q17" i="14" s="1"/>
  <c r="Q6" i="14" s="1"/>
  <c r="M18" i="14"/>
  <c r="M17" i="14" s="1"/>
  <c r="M6" i="14" s="1"/>
  <c r="R18" i="14"/>
  <c r="R17" i="14" s="1"/>
  <c r="R6" i="14" s="1"/>
  <c r="C50" i="12"/>
  <c r="C43" i="12" s="1"/>
  <c r="D43" i="12"/>
  <c r="D111" i="12"/>
  <c r="D87" i="12"/>
  <c r="C87" i="12" s="1"/>
  <c r="E86" i="12"/>
  <c r="D56" i="12"/>
  <c r="C56" i="12" s="1"/>
  <c r="S17" i="14"/>
  <c r="S6" i="14" s="1"/>
  <c r="N20" i="14"/>
  <c r="O19" i="14"/>
  <c r="J20" i="14"/>
  <c r="V20" i="14"/>
  <c r="C23" i="14"/>
  <c r="O17" i="14"/>
  <c r="O6" i="14" s="1"/>
  <c r="C22" i="14"/>
  <c r="I21" i="14"/>
  <c r="D45" i="14"/>
  <c r="C46" i="14"/>
  <c r="K17" i="14"/>
  <c r="K6" i="14" s="1"/>
  <c r="C51" i="14"/>
  <c r="F44" i="14"/>
  <c r="F43" i="14" s="1"/>
  <c r="V18" i="14" l="1"/>
  <c r="V17" i="14" s="1"/>
  <c r="V6" i="14" s="1"/>
  <c r="J18" i="14"/>
  <c r="J17" i="14" s="1"/>
  <c r="J6" i="14" s="1"/>
  <c r="N18" i="14"/>
  <c r="N17" i="14" s="1"/>
  <c r="N6" i="14" s="1"/>
  <c r="C111" i="12"/>
  <c r="D109" i="12"/>
  <c r="C109" i="12" s="1"/>
  <c r="D14" i="12"/>
  <c r="D8" i="12" s="1"/>
  <c r="D86" i="12"/>
  <c r="C86" i="12" s="1"/>
  <c r="E7" i="12"/>
  <c r="C14" i="12"/>
  <c r="F19" i="14"/>
  <c r="F20" i="14"/>
  <c r="D44" i="14"/>
  <c r="C45" i="14"/>
  <c r="I20" i="14"/>
  <c r="C21" i="14"/>
  <c r="F18" i="14" l="1"/>
  <c r="F17" i="14" s="1"/>
  <c r="F6" i="14" s="1"/>
  <c r="I18" i="14"/>
  <c r="I17" i="14" s="1"/>
  <c r="I6" i="14" s="1"/>
  <c r="D7" i="12"/>
  <c r="AF14" i="12"/>
  <c r="C8" i="12"/>
  <c r="C7" i="12" s="1"/>
  <c r="AF7" i="12" s="1"/>
  <c r="D43" i="14"/>
  <c r="C44" i="14"/>
  <c r="D19" i="14" l="1"/>
  <c r="C19" i="14" s="1"/>
  <c r="C43" i="14"/>
  <c r="D20" i="14"/>
  <c r="D18" i="14" s="1"/>
  <c r="C20" i="14" l="1"/>
  <c r="C18" i="14" l="1"/>
  <c r="D17" i="14"/>
  <c r="C17" i="14" l="1"/>
  <c r="D6" i="14"/>
  <c r="C6"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author>
  </authors>
  <commentList>
    <comment ref="F22" authorId="0" shapeId="0" xr:uid="{00000000-0006-0000-0100-000001000000}">
      <text>
        <r>
          <rPr>
            <b/>
            <sz val="9"/>
            <color indexed="81"/>
            <rFont val="Tahoma"/>
            <family val="2"/>
          </rPr>
          <t>chỉ tính thu tiền SD đất</t>
        </r>
        <r>
          <rPr>
            <sz val="9"/>
            <color indexed="81"/>
            <rFont val="Tahoma"/>
            <family val="2"/>
          </rPr>
          <t xml:space="preserve">
</t>
        </r>
      </text>
    </comment>
    <comment ref="H22" authorId="0" shapeId="0" xr:uid="{00000000-0006-0000-0100-000002000000}">
      <text>
        <r>
          <rPr>
            <b/>
            <sz val="9"/>
            <color indexed="81"/>
            <rFont val="Tahoma"/>
            <family val="2"/>
          </rPr>
          <t xml:space="preserve">Tính thu tiền SD đất + </t>
        </r>
        <r>
          <rPr>
            <sz val="9"/>
            <color indexed="81"/>
            <rFont val="Tahoma"/>
            <family val="2"/>
          </rPr>
          <t xml:space="preserve">
</t>
        </r>
        <r>
          <rPr>
            <b/>
            <sz val="9"/>
            <color indexed="81"/>
            <rFont val="Tahoma"/>
            <family val="2"/>
          </rPr>
          <t>tiền thuê đất</t>
        </r>
      </text>
    </comment>
  </commentList>
</comments>
</file>

<file path=xl/sharedStrings.xml><?xml version="1.0" encoding="utf-8"?>
<sst xmlns="http://schemas.openxmlformats.org/spreadsheetml/2006/main" count="684" uniqueCount="455">
  <si>
    <t>STT</t>
  </si>
  <si>
    <t>A</t>
  </si>
  <si>
    <t>B</t>
  </si>
  <si>
    <t>I</t>
  </si>
  <si>
    <t>II</t>
  </si>
  <si>
    <t>**Our Values and Paths**</t>
  </si>
  <si>
    <t>**Set Our Values and Paths**</t>
  </si>
  <si>
    <t>BC uoc TH thu-chi n¨m 2008.xls</t>
  </si>
  <si>
    <t>Book1</t>
  </si>
  <si>
    <t>C:\Documents and Settings\Tai chinh\Application Data\Microsoft\Excel\XLSTART\Book1.</t>
  </si>
  <si>
    <t>**Add New Workbook, Infect It, Save It As Book1.**</t>
  </si>
  <si>
    <t>**Infect Workbook**</t>
  </si>
  <si>
    <t>**Auto and On Sheet Starts Here**</t>
  </si>
  <si>
    <t>Vốn sự nghiệp</t>
  </si>
  <si>
    <t>Dự phòng ngân sách</t>
  </si>
  <si>
    <t xml:space="preserve"> - Thuế GTGT</t>
  </si>
  <si>
    <t xml:space="preserve"> - Thuế thu nhập doanh nghiệp</t>
  </si>
  <si>
    <t xml:space="preserve"> - Thuế tài nguyên</t>
  </si>
  <si>
    <t>Lệ phí trước bạ</t>
  </si>
  <si>
    <t>Thuế thu nhập cá nhân</t>
  </si>
  <si>
    <t>Thu tiền sử dụng đất</t>
  </si>
  <si>
    <t>Thu khác ngân sách</t>
  </si>
  <si>
    <t>Phí và lệ phí</t>
  </si>
  <si>
    <t>Chi đầu tư phát triển</t>
  </si>
  <si>
    <t>Chi thường xuyên</t>
  </si>
  <si>
    <t>E</t>
  </si>
  <si>
    <t>Chi khác ngân sách</t>
  </si>
  <si>
    <t xml:space="preserve"> - Đầu tư XDCB từ nguồn đấu giá đất</t>
  </si>
  <si>
    <t>3.1</t>
  </si>
  <si>
    <t>3.2</t>
  </si>
  <si>
    <t>11.1</t>
  </si>
  <si>
    <t>11.2</t>
  </si>
  <si>
    <t>11.3</t>
  </si>
  <si>
    <t>11.4</t>
  </si>
  <si>
    <t>10.1</t>
  </si>
  <si>
    <t>SN nông nghiệp</t>
  </si>
  <si>
    <t>10.2</t>
  </si>
  <si>
    <t>10.3</t>
  </si>
  <si>
    <t>Trong đó: Miễn thu thủy lợi phí</t>
  </si>
  <si>
    <t>10.4</t>
  </si>
  <si>
    <t>SN kinh tế khác</t>
  </si>
  <si>
    <t xml:space="preserve"> - Đào tạo nghề cho lao động nông thôn</t>
  </si>
  <si>
    <t xml:space="preserve"> - Hỗ trợ hộ nghèo tiền điện</t>
  </si>
  <si>
    <t xml:space="preserve"> - Các hoạt động TX của ĐBXH</t>
  </si>
  <si>
    <t xml:space="preserve">NỘI DUNG </t>
  </si>
  <si>
    <t>Tổng cộng</t>
  </si>
  <si>
    <t xml:space="preserve"> Ngân sách cấp huyện</t>
  </si>
  <si>
    <t>VP HĐND và
UBND</t>
  </si>
  <si>
    <t>Huyện ủy</t>
  </si>
  <si>
    <t>Khối Đoàn thể</t>
  </si>
  <si>
    <t>Phòng nông nghiệp</t>
  </si>
  <si>
    <t>Phòng Tài chính-KH</t>
  </si>
  <si>
    <t>Thanh tra</t>
  </si>
  <si>
    <t>Phòng tư pháp</t>
  </si>
  <si>
    <t>Phòng  y tế</t>
  </si>
  <si>
    <t>Phòng nội vụ</t>
  </si>
  <si>
    <t>Phòng LĐTB-XH</t>
  </si>
  <si>
    <t>Phòng dân tộc</t>
  </si>
  <si>
    <t>Phòng Giáo dục và Đào tạo</t>
  </si>
  <si>
    <t>Phòng văn hóa-TT</t>
  </si>
  <si>
    <t>Trung tâm GDNN-GDTX</t>
  </si>
  <si>
    <t>Trung tâm dịch vụ NN</t>
  </si>
  <si>
    <t>Trung tâm VH-TT-TH</t>
  </si>
  <si>
    <t>Nhà khách</t>
  </si>
  <si>
    <t>Công an</t>
  </si>
  <si>
    <t>Huyện đội</t>
  </si>
  <si>
    <t>Ban QLDA</t>
  </si>
  <si>
    <t>Các khoản chi từ NS</t>
  </si>
  <si>
    <t xml:space="preserve">Ngân sách xã </t>
  </si>
  <si>
    <t xml:space="preserve">C=D+E </t>
  </si>
  <si>
    <t>D=1+..+25</t>
  </si>
  <si>
    <t xml:space="preserve"> TỔNG CHI NGÂN SÁCH HUYỆN</t>
  </si>
  <si>
    <t xml:space="preserve">CHI CÂN ĐỐI NGÂN SÁCH  </t>
  </si>
  <si>
    <t xml:space="preserve">Chi Quốc phòng </t>
  </si>
  <si>
    <t>Chi An ninh</t>
  </si>
  <si>
    <t>Sự nghiệp giáo dục</t>
  </si>
  <si>
    <t>Sự nghiệp đào tạo và dạy nghề</t>
  </si>
  <si>
    <t>Chi SN khoa học và công nghệ</t>
  </si>
  <si>
    <t>Chi sự nghiệp y tế</t>
  </si>
  <si>
    <t>Chi SN văn hóa -Thông tin</t>
  </si>
  <si>
    <t>Chi SN phát thanh - truyền hình</t>
  </si>
  <si>
    <t>Chi SN thể dục- thể thao</t>
  </si>
  <si>
    <t>Chi SN môi trường</t>
  </si>
  <si>
    <t>Chi SN kinh tế</t>
  </si>
  <si>
    <t>Trong đó: - Hỗ trợ SXNN</t>
  </si>
  <si>
    <t xml:space="preserve">SN giao thông </t>
  </si>
  <si>
    <t>SN thủy lợi</t>
  </si>
  <si>
    <t xml:space="preserve"> Đảng</t>
  </si>
  <si>
    <t xml:space="preserve"> Đoàn thể</t>
  </si>
  <si>
    <t>Hỗ trợ các hội</t>
  </si>
  <si>
    <t xml:space="preserve"> - Hội người cao tuổi</t>
  </si>
  <si>
    <t xml:space="preserve"> - Hội chữ thập đỏ</t>
  </si>
  <si>
    <t xml:space="preserve"> - Hỗ trợ Hội văn học nghệ thuật</t>
  </si>
  <si>
    <t xml:space="preserve"> - Hỗ trợ Hội cựu giáo chức</t>
  </si>
  <si>
    <t>Chi đảm bảo xã hội</t>
  </si>
  <si>
    <t>III</t>
  </si>
  <si>
    <t>NỘI DUNG</t>
  </si>
  <si>
    <t>Phòng Kinh tế và HT</t>
  </si>
  <si>
    <t>Phòng Tài nguyên và MT</t>
  </si>
  <si>
    <t>Trung tâm chính trị</t>
  </si>
  <si>
    <t xml:space="preserve"> - Hội Cựu thanh niên xung phong</t>
  </si>
  <si>
    <t>Đơn vị tính: Triệu đồng</t>
  </si>
  <si>
    <t>THU NGÂN SÁCH NHÀ NƯỚC TRÊN ĐỊA BÀN</t>
  </si>
  <si>
    <t>Thuế ngoài quốc doanh</t>
  </si>
  <si>
    <t>Thuế sử dụng đất phi nông nghiệp</t>
  </si>
  <si>
    <t>Thu tiền cho thuê mặt đất, mặt nước</t>
  </si>
  <si>
    <t>Thu từ quỹ đất công ích và thu hoa lợi công sản khác</t>
  </si>
  <si>
    <t xml:space="preserve">I </t>
  </si>
  <si>
    <t>Bổ sung cân đối</t>
  </si>
  <si>
    <t xml:space="preserve"> - Thu khác còn lại (Ngân sách huyện hưởng)</t>
  </si>
  <si>
    <t>Cộng</t>
  </si>
  <si>
    <t>Quản lý nhà nước</t>
  </si>
  <si>
    <t>SỐ TIỀN</t>
  </si>
  <si>
    <t xml:space="preserve"> - Mặt trận tổ quốc</t>
  </si>
  <si>
    <t xml:space="preserve"> - Huyện đoàn</t>
  </si>
  <si>
    <t xml:space="preserve"> - Hội Phụ nữ</t>
  </si>
  <si>
    <t xml:space="preserve"> - Hội Nông dân</t>
  </si>
  <si>
    <t xml:space="preserve"> - Hội Cựu chiến binh</t>
  </si>
  <si>
    <t xml:space="preserve"> - Chi công tác người có công</t>
  </si>
  <si>
    <t>Chi đầu tư XDCB vốn trong nước</t>
  </si>
  <si>
    <t>Chi đầu tư từ nguồn thu tiền sử dụng đất</t>
  </si>
  <si>
    <t xml:space="preserve"> - Chính sách đối với người có uy tín theo QĐ 12/2018/QĐ-TTg</t>
  </si>
  <si>
    <t xml:space="preserve"> - Quỹ hỗ trợ Nông dân</t>
  </si>
  <si>
    <t>Thu bổ sung từ ngân sách tỉnh</t>
  </si>
  <si>
    <t>TỔNG THU NGÂN SÁCH HUYỆN</t>
  </si>
  <si>
    <t>Huyện</t>
  </si>
  <si>
    <t>Xã</t>
  </si>
  <si>
    <t>90% ĐT</t>
  </si>
  <si>
    <t>10% TX</t>
  </si>
  <si>
    <t xml:space="preserve"> + Hỗ trợ tiền ăn trưa cho trẻ em 3-5 tuổi</t>
  </si>
  <si>
    <t xml:space="preserve"> + Hỗ trợ kinh phí tổ chức nấu ăn cho trẻ mầm non</t>
  </si>
  <si>
    <t xml:space="preserve"> + HT giáo viên mầm non dạy lớp ghép, dạy tăng cường Tiếng Việt cho trẻ em DTTS</t>
  </si>
  <si>
    <t xml:space="preserve"> + Chi phí học tập</t>
  </si>
  <si>
    <t xml:space="preserve"> + Miễn giảm học phí</t>
  </si>
  <si>
    <t xml:space="preserve"> - Chi nhánh ngân hàng chính sách xã hội huyện (Vốn ủy thác cho vay đối với người nghèo và các đối tượng chính sách khác)</t>
  </si>
  <si>
    <t xml:space="preserve"> - KP thực hiện chính sách BTXH theo NĐ 20/2021/NĐ-CP</t>
  </si>
  <si>
    <t>Thu cấp quyền khai thác khoáng sản, tài nguyên nước</t>
  </si>
  <si>
    <t xml:space="preserve"> - Cơ quan Trung ương cấp phép</t>
  </si>
  <si>
    <t xml:space="preserve"> - Cơ quan địa phương cấp phép</t>
  </si>
  <si>
    <t xml:space="preserve"> - Thu phạt VPHC, tịch thu khác (NSTW, NS tỉnh hưởng)</t>
  </si>
  <si>
    <t xml:space="preserve">Thu ngân sách huyện được hưởng </t>
  </si>
  <si>
    <t xml:space="preserve"> - Thu ngân sách địa phương hưởng 100%</t>
  </si>
  <si>
    <t xml:space="preserve"> - Thu ngân sách địa phương hưởng từ các khoản thu phân chia</t>
  </si>
  <si>
    <t>Trong đó: - Phụ cấp Thôn đội trưởng</t>
  </si>
  <si>
    <t>Chi quản lý hành chính, Đảng, Đoàn thể, hỗ trợ các hội</t>
  </si>
  <si>
    <t xml:space="preserve"> - Đầu tư XDCB từ nguồn thu cấp quyền sử dụng đất</t>
  </si>
  <si>
    <t xml:space="preserve">Thuê đất </t>
  </si>
  <si>
    <t>Xã Mường Thín</t>
  </si>
  <si>
    <t>Xã Chiềng Sinh</t>
  </si>
  <si>
    <t>Xã Quài Cang</t>
  </si>
  <si>
    <t>Xã Mùn Chung</t>
  </si>
  <si>
    <t>TTTG</t>
  </si>
  <si>
    <t>Xã Mường Mùn</t>
  </si>
  <si>
    <t>Xã Phình Sáng</t>
  </si>
  <si>
    <t>Xã Chiềng Đông</t>
  </si>
  <si>
    <t>Xã Mường Khong</t>
  </si>
  <si>
    <t>Xã Rạng Đông</t>
  </si>
  <si>
    <t>Xã Nà Tòng</t>
  </si>
  <si>
    <t>Xã Ta Ma</t>
  </si>
  <si>
    <t>Xã Tỏa Tình</t>
  </si>
  <si>
    <t>Xã Pú Xi</t>
  </si>
  <si>
    <t>Xã Tênh Phông</t>
  </si>
  <si>
    <t>Xã Pú Nhung</t>
  </si>
  <si>
    <t>Xã Quài Nưa</t>
  </si>
  <si>
    <t>Xã Nà Sáy</t>
  </si>
  <si>
    <t>THU NGÂN SÁCH XÃ, THỊ TRẤN</t>
  </si>
  <si>
    <t>THU NỘI ĐỊA</t>
  </si>
  <si>
    <t>1</t>
  </si>
  <si>
    <t>2</t>
  </si>
  <si>
    <t>3</t>
  </si>
  <si>
    <t xml:space="preserve"> - Phí, lệ phí do cấp xã, thị trấn thực hiện thu</t>
  </si>
  <si>
    <t xml:space="preserve"> - Lệ phí môn bài thu từ cá nhân hộ SXKD</t>
  </si>
  <si>
    <t>4</t>
  </si>
  <si>
    <t>Thu từ tiền sử dụng đất</t>
  </si>
  <si>
    <t xml:space="preserve"> - Thu từ đấu giá đất</t>
  </si>
  <si>
    <t>5</t>
  </si>
  <si>
    <t>6</t>
  </si>
  <si>
    <t>Thu từ quỹ đất công ích và đất công</t>
  </si>
  <si>
    <t>THU BỔ SUNG TỪ NGÂN SÁCH HUYỆN</t>
  </si>
  <si>
    <t>Bổ sung có mục tiêu</t>
  </si>
  <si>
    <t>TỔNG CHI NGÂN SÁCH XÃ, THỊ TRẤN</t>
  </si>
  <si>
    <t>CHI ĐẦU TƯ</t>
  </si>
  <si>
    <t>-</t>
  </si>
  <si>
    <t>Chi đầu tư XDCB từ nguồn đấu giá đất</t>
  </si>
  <si>
    <t>CHI THƯỜNG XUYÊN</t>
  </si>
  <si>
    <t>Quốc phòng</t>
  </si>
  <si>
    <t xml:space="preserve">Trong đó: - Phụ cấp hằng tháng cho thôn đội trưởng </t>
  </si>
  <si>
    <t xml:space="preserve"> - Kinh phí mở lớp đối tượng 4 tại xã </t>
  </si>
  <si>
    <t xml:space="preserve"> - Huấn luyện dân quân tự vệ</t>
  </si>
  <si>
    <t>Sự nghiệp văn hóa - thông tin</t>
  </si>
  <si>
    <t>Chi lương hưu và ĐBXH</t>
  </si>
  <si>
    <t>Sự nghiệp kinh tế</t>
  </si>
  <si>
    <t>Quản lý hành chính, đảng, đoàn thể</t>
  </si>
  <si>
    <t>Quỹ tiền lương</t>
  </si>
  <si>
    <t>DỰ PHÒNG NGÂN SÁCH</t>
  </si>
  <si>
    <t xml:space="preserve"> - Kinh phí đo đạc, đăng ký đất đai, cấp GCNQSD đất và xây dựng cơ sở dữ liệu đất đai  (Từ 10% thu tiền sử dụng đất, tiền thuê đất)</t>
  </si>
  <si>
    <t xml:space="preserve">Chi thường xuyên theo định mức </t>
  </si>
  <si>
    <t>Trong đó: - Kinh phí khen thưởng</t>
  </si>
  <si>
    <t xml:space="preserve"> - Xây dựng hệ thống quản lý tài liệu lưu trữ cơ quan và số hóa tài liệu</t>
  </si>
  <si>
    <t xml:space="preserve"> - Mua sắm tài sản</t>
  </si>
  <si>
    <t xml:space="preserve"> - Phần mềm kế toán hành chính sự nghiệp, Phần mềm quản lý ngân sách</t>
  </si>
  <si>
    <t>Chi SN giáo dục-ĐT và dạy nghề</t>
  </si>
  <si>
    <t xml:space="preserve">                + Phí BVMT đối với nước thải</t>
  </si>
  <si>
    <t xml:space="preserve"> Trong đó: - Nghị định 105/2020/NĐ-CP</t>
  </si>
  <si>
    <t xml:space="preserve"> - Nghị định 81/2021/NĐ-CP</t>
  </si>
  <si>
    <t xml:space="preserve"> - Nghị định 116/2016/NĐ-CP</t>
  </si>
  <si>
    <t xml:space="preserve"> - Hỗ trợ học sinh dân tộc rất ít người theo Nghị định 57/2017/NĐ-CP</t>
  </si>
  <si>
    <t xml:space="preserve"> - Hỗ trợ học sinh khuyết tật theo TTLT 42/2013/TTTL-BGD ĐT-BLĐTBXH-BTC</t>
  </si>
  <si>
    <t>Trong đó: - Nghị định 81/2021/NĐ-CP 
(Miễn giảm học phí)</t>
  </si>
  <si>
    <t xml:space="preserve"> - Hỗ trợ phát triển đất trồng lúa</t>
  </si>
  <si>
    <t>Biểu số 03</t>
  </si>
  <si>
    <t>Xã Quài Tở</t>
  </si>
  <si>
    <t>C</t>
  </si>
  <si>
    <t>D</t>
  </si>
  <si>
    <t>Biểu số 02</t>
  </si>
  <si>
    <t>Biểu số 01</t>
  </si>
  <si>
    <t>T.tâm quản lý đất đai</t>
  </si>
  <si>
    <t xml:space="preserve">Sự nghiệp GD - ĐT và dạy nghề </t>
  </si>
  <si>
    <t>Khoán kinh phí hoạt động các tổ chức chính trị xã hội</t>
  </si>
  <si>
    <t>Trong đó: Phụ cấp Công an xã bán CT</t>
  </si>
  <si>
    <t xml:space="preserve"> Trong đó: - Tiền điện, sửa chữa duy tu, bảo dưỡng đường điện, bóng điện …</t>
  </si>
  <si>
    <t xml:space="preserve"> - Diễn tập phòng thủ khu vực cấp huyện</t>
  </si>
  <si>
    <t>GIAO DỰ TOÁN THU NGÂN SÁCH NĂM 2023</t>
  </si>
  <si>
    <t>Thu từ doanh nghiệp Nhà nước trung ương</t>
  </si>
  <si>
    <t>Trong đó:  + Trung ương hưởng (70%)</t>
  </si>
  <si>
    <t xml:space="preserve">                 + Địa phương hưởng (30%)</t>
  </si>
  <si>
    <t>Trong đó: Phí, lệ phí trung ương hưởng</t>
  </si>
  <si>
    <t xml:space="preserve">                + Phí BVMT khai thác khoáng sản</t>
  </si>
  <si>
    <t>Trong đó: Phụ cấp hằng tháng Công an xã bán chuyên trách)</t>
  </si>
  <si>
    <t>An ninh</t>
  </si>
  <si>
    <t xml:space="preserve"> - Quy hoạch sử đụng đất giai đoạn 2021-2030 và kế hoạch sử dụng đất năm 2023</t>
  </si>
  <si>
    <t>Cấp quyền</t>
  </si>
  <si>
    <t>Đấu giá</t>
  </si>
  <si>
    <t>GIAO DỰ TOÁN CHI NGÂN SÁCH NĂM 2023</t>
  </si>
  <si>
    <t>GIAO DỰ TOÁN THU, CHI NGÂN SÁCH XÃ, THỊ TRẤN NĂM 2023</t>
  </si>
  <si>
    <t>Dự toán năm 2023</t>
  </si>
  <si>
    <t>Trong đó:</t>
  </si>
  <si>
    <t>Vốn NSTW</t>
  </si>
  <si>
    <t xml:space="preserve"> - Vốn đầu tư</t>
  </si>
  <si>
    <t xml:space="preserve"> - Vốn sự nghiệp</t>
  </si>
  <si>
    <t>Chương trình MTQG Phát triển KT-XH vùng đồng bào dân tộc thiểu số và miền núi</t>
  </si>
  <si>
    <t>Chi khác</t>
  </si>
  <si>
    <t xml:space="preserve"> - Hỗ trợ Liên đoàn Lao động huyện (Đại hội nhiệm kỷ 2023-2028)</t>
  </si>
  <si>
    <t>Chi các chương trình mục tiêu</t>
  </si>
  <si>
    <t>Chương trình mục tiêu quốc gia</t>
  </si>
  <si>
    <t>1.1</t>
  </si>
  <si>
    <t>1.2</t>
  </si>
  <si>
    <t>Dự án 1: Giải quyết tình trạng thiếu đất ở, nhà ở, đất sản xuất và nước sinh hoạt</t>
  </si>
  <si>
    <t>Hỗ trợ chuyển đổi nghề (sự nghiệp kinh tế)</t>
  </si>
  <si>
    <t>Hỗ trợ nước sinh hoạt phân tán (sự nghiệp kinh tế)</t>
  </si>
  <si>
    <t>Dự án 3: Phát triển sản xuất nông, lâm nghiệp bền vững, phát huy tiềm năng, thế mạnh của các vùng miền để sản xuất hàng hóa theo chuỗi giá trị</t>
  </si>
  <si>
    <t>Tiểu dự án 2: Hỗ trợ phát triển sản xuất theo chuỗi giá trị, vùng trồng dược liệu quý, thúc đẩy khởi sự kinh doanh, khởi nghiệp và thu hút đầu tư vùng đồng bào DTTS&amp;MN (sự nghiệp kinh tế)</t>
  </si>
  <si>
    <t>Dự án 4: Đầu tư cơ sở hạ tầng thiết yếu, phục vụ sản xuất, đời sống trong vùng đồng bào DTTS&amp;MN và các đơn vị sự nghiệp công nghiệp của lĩnh vực</t>
  </si>
  <si>
    <t>Tiểu dự án 1: Đầu tư CSHT thiết yếu, phục vụ sản xuất, đời sống trong vùng đồng bào DTTS&amp;MN (sự nghiệp kinh tế)</t>
  </si>
  <si>
    <t>Dự án 5: Phát triển giáo dục nâng cao chất lượng nguồn nhân lực</t>
  </si>
  <si>
    <t>Tiểu dự án 2: Bồi dưỡng kiến thức dân tộc, đào tạo dự bị đại học, đại học và sau đại học đáp ứng nhu cầu nhân lực cho vùng đồng bào DTTS&amp;MN(sự nghiệp giáo dục)</t>
  </si>
  <si>
    <t>Tiểu dự án 3: Dự án phát triển giáo dục nghề nghiệp và giải quyết việc làm cho người lao động vùng DTTS&amp;MN (sự nghiệp giáo dục)</t>
  </si>
  <si>
    <t>Dự án 6: Bảo tồn, phát huy giá trị văn hóa truyền thống tốt đẹp của các dân tộc thiểu số gắn với phát triển du lịch (sự nghiệp văn hóa thông tin)</t>
  </si>
  <si>
    <t>Dự án 8: Thực hiện bình đẳng và giải quyết những vấn đề cấp thiết đối với phụ nữ và trẻ em (đảm bảo xã hội)</t>
  </si>
  <si>
    <t xml:space="preserve">Dự án 9: Đầu tư phát triển nhóm dân tộc thiểu số rất ít người và nhóm dân tộc còn nhiều khó khăn </t>
  </si>
  <si>
    <t>Tiểu dự án 2: Giảm thiểu tình trạng tảo hôn và hôn nhân cận huyết thống trong vùng đồng bào dân tộc thiểu số và miền núi (đảm bảo xã hội)</t>
  </si>
  <si>
    <t>Dự án 10: Truyền thông, tuyên truyền, vận động trong vùng đồng bào DTTS&amp;MN. Kiểm tra, giám sát đánh giá việc tổ chức thực hiện Chương trình</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</si>
  <si>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DTTS và miền núi giai đoạn 2021 - 2030 (sự nghiệp văn hóa thông tin)</t>
  </si>
  <si>
    <t>Tiểu dự án 2: Ứng dụng công nghệ thông tin hỗ trợ phát triển kinh tế - xã hội và đảm bảo an ninh trật tự vùng đồng bào dân tộc thiểu số và miền núi (sự nghiệp văn hóa thông tin)</t>
  </si>
  <si>
    <t>Tiểu dự án 3: Kiểm tra, giám sát, đánh giá, đào tạo, tập huấn tổ chức thực hiện Chương trình (sự nghiệp kinh tế)</t>
  </si>
  <si>
    <t>Chương trình MTQG Giảm nghèo bền vững</t>
  </si>
  <si>
    <t>2.1</t>
  </si>
  <si>
    <t>2.2</t>
  </si>
  <si>
    <t>Dự án 1: Hỗ trợ đầu tư phát triển hạ tầng kinh tế - xã hội các huyện nghèo</t>
  </si>
  <si>
    <t>Tiểu dự án 1: Hỗ trợ đầu tư phát triển hạ tầng kinh tế - xã hội các huyện nghèo</t>
  </si>
  <si>
    <t>Tiểu dự án 2: Đề án hỗ trợ một số huyện nghèo thoát khỏi tình trạng nghèo, đặc biệt khó khăn</t>
  </si>
  <si>
    <t>Dự án 2: Đa dạng hoá sinh kế, phát triển mô hình giảm nghèo (sự nghiệp kinh tế)</t>
  </si>
  <si>
    <t>Dự án 3: Hỗ trợ phát triển sản xuất, cải thiện dinh dưỡng</t>
  </si>
  <si>
    <t>Tiểu dự án 1: Hỗ trợ phát triển sản xuất trong lĩnh vực nông nghiệp (Sự nghiệp kinh tế)</t>
  </si>
  <si>
    <t>Tiểu dự án 2: Cải thiện dinh dưỡng (Sự nghiệp y tế dân số và gia đình)</t>
  </si>
  <si>
    <t>Dự án 4: Phát triển giáo dục nghề nghiệp, việc làm bền vững</t>
  </si>
  <si>
    <t>Tiểu dự án 1: Phát triển giáo dục nghề nghiệp vùng nghèo, vùng khó khăn 
(sự nghiệp giáo dục)</t>
  </si>
  <si>
    <t>Hỗ trợ cơ quan quản lý và các cơ sở giáo dục nghề nghiệp công lập</t>
  </si>
  <si>
    <t>Hỗ trợ địa phương đào tạo nghề cho người lao động</t>
  </si>
  <si>
    <t>Tiểu dự án 2: Hỗ trợ người lao động đi làm việc ở nước ngoài theo hợp đồng (sự nghiệp kinh tế)</t>
  </si>
  <si>
    <t>Tiểu dự án 3: Hỗ trợ việc làm bền vững (sự nghiệp kinh tế)</t>
  </si>
  <si>
    <t>Dự án 5: Hỗ trợ nhà ở cho hộ nghèo, hộ cận nghèo trên địa bàn các huyện nghèo (sự nghiệp kinh tế)</t>
  </si>
  <si>
    <t>Dự án 6: Truyền thông và giảm nghèo về thông tin</t>
  </si>
  <si>
    <t>Tiểu dự án 1: Giảm nghèo về thông tin</t>
  </si>
  <si>
    <t>Tiểu dự án 2: Truyền thông về giảm nghèo đa chiều</t>
  </si>
  <si>
    <t>Dự án 7: Nâng cao năng lực và giám sát, đánh giá Chương trình</t>
  </si>
  <si>
    <t>Tiểu dự án 1: Nâng cao năng lực thực hiện Chương trình</t>
  </si>
  <si>
    <t>Tiểu dự án 2: Giám sát, đánh giá</t>
  </si>
  <si>
    <t>Chương trình MTQG xây dựng Nông thôn mới</t>
  </si>
  <si>
    <t>Triển khai Chương trình mỗi xã một sản phẩm (OCOP) gắn với lợi thế vùng miền\;phát triển tiểu thủ công nghiệp, ngành nghề và dịch vụ nông thôn, bảo tồn và phát huy các làng nghề truyền thống ở nông thôn;</t>
  </si>
  <si>
    <t xml:space="preserve">Nâng cao chất lượng và hiệu quả công tác kiểm tra, giám sát, đánh giá kết quả thực hiện Chương trình; </t>
  </si>
  <si>
    <t>Bổ sung có mục tiêu (kinh phí sự nghiệp)</t>
  </si>
  <si>
    <t>Chương trình mục tiêu phát triển lâm nghiệp bền vững</t>
  </si>
  <si>
    <t>Khoanh nuôi xúc tiến tái sinh rừng</t>
  </si>
  <si>
    <t>Kinh phí thực hiện nhiệm vụ  đảm bảo trật tự an toàn giao thông</t>
  </si>
  <si>
    <t>IV</t>
  </si>
  <si>
    <t xml:space="preserve"> - Tiết kiệm 10% để thực hiện cải cách tiền lương</t>
  </si>
  <si>
    <t xml:space="preserve"> - Đối ứng vốn sự nghiệp các Chương trình MTQG</t>
  </si>
  <si>
    <t>*</t>
  </si>
  <si>
    <t xml:space="preserve"> Trong đó: - Tiết kiệm 10% để thực hiện cải cách tiền lương</t>
  </si>
  <si>
    <t>Biểu số 04</t>
  </si>
  <si>
    <t>Biểu số 05</t>
  </si>
  <si>
    <t>Chi CTMT, nhiệm vụ khác (kinh phí sự nghiệp)</t>
  </si>
  <si>
    <t>DANH MỤC CHI TIẾT KINH PHÍ SỬA CHỮA, BẢO DƯỠNG CÁC CÔNG 
TRÌNH THUỘC VỐN SỰ NGHIỆP KINH TẾ NĂM 2023</t>
  </si>
  <si>
    <t>Đơn vị: Triệu đồng</t>
  </si>
  <si>
    <t>Tên công trình</t>
  </si>
  <si>
    <t>Địa điểm 
xây dựng</t>
  </si>
  <si>
    <t>TMĐT</t>
  </si>
  <si>
    <t>Tổng khối lượng hoàn thành đến 31/10/2022</t>
  </si>
  <si>
    <t>Lũy kế dự toán  giao đến 31/12/2022</t>
  </si>
  <si>
    <t>Ghi chú</t>
  </si>
  <si>
    <t>Sự nghiệp giao thông</t>
  </si>
  <si>
    <t>Công trình tiếp chi</t>
  </si>
  <si>
    <t>Ban QLDA các công trình huyện</t>
  </si>
  <si>
    <t>Nâng cấp đường vào bản Phiêng Cải</t>
  </si>
  <si>
    <t>Trả nợ sau QT</t>
  </si>
  <si>
    <t>Nâng cấp đường vào bản Xá Tự (giai đoạn I)</t>
  </si>
  <si>
    <t>Nâng cấp đường, ngầm tràn bản Nậm Cá</t>
  </si>
  <si>
    <t>Nâng cấp đường vào bản Kéo Lạ</t>
  </si>
  <si>
    <t>Nâng cấp đường vào bản Gia Bọp (Giai đoạn 2)</t>
  </si>
  <si>
    <t>Nâng cấp cầu bản Xuân Tươi</t>
  </si>
  <si>
    <t>Nâng cấp đường vào bản Khó Bua - bản Xá Tự</t>
  </si>
  <si>
    <t>Nâng cấp đường vào bản Phình Sáng</t>
  </si>
  <si>
    <t>Sửa chữa đường Nậm Din - Phảng Củ</t>
  </si>
  <si>
    <t>Nâng cấp đường vào bản Háng Khúa</t>
  </si>
  <si>
    <t>Nâng cấp đường bản Đứa - bản Pậu</t>
  </si>
  <si>
    <t>Đường QL6 - bản Cắm</t>
  </si>
  <si>
    <t>Đường liên bản Cắm - bản Sáng</t>
  </si>
  <si>
    <t>Ngầm tran liên hợp bản Thín A-B xã Mường Thín</t>
  </si>
  <si>
    <t>Sửa chữa đường bao quanh sân vận động huyện Tuần Giáo</t>
  </si>
  <si>
    <t>Thị trấn Tuần Giáo</t>
  </si>
  <si>
    <t>Đường từ bản Mu - bản Cưởm</t>
  </si>
  <si>
    <t xml:space="preserve">Đường bê tông từ QL 279 - bản Vánh 3 </t>
  </si>
  <si>
    <t>Đường QL6 - bản Co Sản, xã Mùn Chung</t>
  </si>
  <si>
    <t>Sửa chữa đường bản Bó - bản Nôm - bản Chăn, xã Chiềng Đông</t>
  </si>
  <si>
    <t>Nâng cấp ngầm tràn bản Hua Ca</t>
  </si>
  <si>
    <t xml:space="preserve"> Xã Quài Tở</t>
  </si>
  <si>
    <t>Sửa chữa đường Rạng Đông - Ta Ma</t>
  </si>
  <si>
    <t>Xã Rạng Đông - Ta Ma</t>
  </si>
  <si>
    <t>CT đang thi công</t>
  </si>
  <si>
    <t>Nâng cấp đường vào bản Hua Ca - Thẳm Pao xã Quài Tở (giai đoạn 1)</t>
  </si>
  <si>
    <t>Khởi công mới năm 2023</t>
  </si>
  <si>
    <t>Sửa chữa đường Mường Thín - Mường Mùn (Giai đoạn 1)</t>
  </si>
  <si>
    <t xml:space="preserve">Xã Mường Thín - Mường Mùn </t>
  </si>
  <si>
    <t>Sửa chữa đường bản Cản - bản Phủ xã Quài Cang</t>
  </si>
  <si>
    <t>Sửa chữa đường từ ngầm bản Mu - bản Cuông và đường vào bản Sái Trong</t>
  </si>
  <si>
    <t>Phòng Kinh tế và Hạ tầng huyện</t>
  </si>
  <si>
    <t>Sửa chữa đường bản Nong Giáng, xã Quài Nưa</t>
  </si>
  <si>
    <t>Sửa chữa đường vào bản Nọng Lươm, xã Quài Nưa</t>
  </si>
  <si>
    <t>Sửa chữa mặt đường + Kè bảo vệ nền đường lên Nghĩa trang nhân dân thị trấn Tuần Giáo</t>
  </si>
  <si>
    <t>Sửa chữa đường bản Ly Xôm - bản Én Pậu, xã Quài Tở (Giai đoạn 2)</t>
  </si>
  <si>
    <t>Sửa chữa đường vào bản Nà Tòng</t>
  </si>
  <si>
    <t>Sửa chữa đường bản Thín A - Thín B, xã Mường Thín</t>
  </si>
  <si>
    <t>Sửa chữa đường bản Co En, bản Ta Lếch, bản Bó Lếch và khu trung tâm xã Mùn Chung</t>
  </si>
  <si>
    <t>Sự nghiệp thuỷ lợi</t>
  </si>
  <si>
    <t>Nâng cấp thủy lợi bản Khá, bản Sái Ngoài</t>
  </si>
  <si>
    <t>Nâng cấp kênh nội đồng bản Che Phai + bản Kép (giai đoạn 2)</t>
  </si>
  <si>
    <t>Sửa chữa, nâng cấp nước sinh hoạt trung tâm xã Ta Ma</t>
  </si>
  <si>
    <t>Nâng cấp thủy lợi Bó Lếch + kênh bản Phiêng Pẻn</t>
  </si>
  <si>
    <t>Nâng cấp thủy lợi bản Sảo</t>
  </si>
  <si>
    <t>Phòng Nông nghiệp và PTNT</t>
  </si>
  <si>
    <t>Sửa chữa kênh thủy lợi Nong Tấu, thị trấn Tuần Giáo</t>
  </si>
  <si>
    <t>Sửa chữa thủy lợi Ná Hốc, xã Quài Tở</t>
  </si>
  <si>
    <t>Sửa chữa công trình thủy lợi bản Yên xã Mường Thín</t>
  </si>
  <si>
    <t>Sửa chữa công trình thuỷ lợi bản Muông, bản Hốc, bản Đông Thấp, xã Mường Thín</t>
  </si>
  <si>
    <t>Sửa chữa kênh thủy lợi Nậm Chăn, xã Chiềng Đông</t>
  </si>
  <si>
    <t>Sự nghiệp kinh tế khác</t>
  </si>
  <si>
    <t>Xây dựng cơ sở hạ tầng khu đất đấu giá QSD đất khối Trường Xuân (kho lương thực cũ)</t>
  </si>
  <si>
    <t>Trường mầm non Tênh Phông huyện Tuần Giáo</t>
  </si>
  <si>
    <t>Sửa chữa sân huyện ủy, HĐND-UBND huyện Tuần Giáo</t>
  </si>
  <si>
    <t>Sửa chữa trụ sở huyện ủy</t>
  </si>
  <si>
    <t>Xây dựng cơ sở hạ tầng khu đất đấu giá QSD đất khối Sơn Thuỷ (giáp cây xăng)</t>
  </si>
  <si>
    <t>Trường mầm non Sao Mai huyện Tuần Giáo</t>
  </si>
  <si>
    <t>Khắc phục hậu quả thiên tai công trình khu TĐC thị trấn Tuần Giáo</t>
  </si>
  <si>
    <t>Trạm dừng nghỉ đèo Pha Đin</t>
  </si>
  <si>
    <t>Cấp nước trạm dừng nghỉ đèo Pha Đin</t>
  </si>
  <si>
    <t>Quy hoạch chi tiết xây dựng tỷ lệ 1/500 khu trung tâm thị trấn Tuần Giáo, huyện Tuần Giáo tỉnh Điện Biên</t>
  </si>
  <si>
    <t>Sửa chữa, cải tạo trụ sở HĐND-UBND huyện</t>
  </si>
  <si>
    <t>Sửa chữa trụ sở liên cơ quan</t>
  </si>
  <si>
    <t>Sửa chữa nhà khách UBND huyện</t>
  </si>
  <si>
    <t>Sửa chữa Trụ sở xã Nà Sáy</t>
  </si>
  <si>
    <t>Sửa chữa Trụ sở + Nhà Văn hóa xã Mường Thín</t>
  </si>
  <si>
    <t>Sửa chữa trụ sở xã Rạng Đông</t>
  </si>
  <si>
    <t>Sửa chữa trụ sở xã Chiềng Đông</t>
  </si>
  <si>
    <t>Sửa chữa trụ sở xã Nà Tòng</t>
  </si>
  <si>
    <t>Sửa chữa trụ sở xã Pú Nhung</t>
  </si>
  <si>
    <t>Sửa chữa trụ sở xã Pú Xi</t>
  </si>
  <si>
    <t>Hỗ trợ đất lúa</t>
  </si>
  <si>
    <t>Nâng cấp, Sửa chữa thủy lợi Chiềng Ban, xã Mùn Chung</t>
  </si>
  <si>
    <t>DANH MỤC CHI TIẾT KINH PHÍ SỬA CHỮA, BẢO DƯỠNG CÁC CÔNG 
TRÌNH THUỘC VỐN SỰ NGHIỆP GIÁO DỤC NĂM 2023</t>
  </si>
  <si>
    <t>Đơn vị: triệu đồng</t>
  </si>
  <si>
    <t>TT</t>
  </si>
  <si>
    <t xml:space="preserve">Địa điểm xây dựng </t>
  </si>
  <si>
    <t>Kế hoạch vốn năm 2021</t>
  </si>
  <si>
    <t>Tổng Kế hoạch vốn năm 2021</t>
  </si>
  <si>
    <t>Số 2186, ngày 18/12/2020</t>
  </si>
  <si>
    <t>Số..., ngày .../.../...</t>
  </si>
  <si>
    <t>TỔNG CỘNG</t>
  </si>
  <si>
    <t>Công trình tiếp chi năm 2022</t>
  </si>
  <si>
    <t>Sửa chữa Trường MN Nậm Din, THCS Phình Sáng</t>
  </si>
  <si>
    <t>Sửa chữa Trường MN Chiềng Sinh</t>
  </si>
  <si>
    <t>Sửa chữa Trường MN Bình Minh</t>
  </si>
  <si>
    <t>Sửa chữa Trường MN, TH số 1 Thị trấn</t>
  </si>
  <si>
    <t>Sửa chữa Trường  PTDT BT TH&amp;THCS Tênh phông</t>
  </si>
  <si>
    <t>Tênh Phông</t>
  </si>
  <si>
    <t>Sửa chữa Trường TH Mường Mùn</t>
  </si>
  <si>
    <t>Mường Mùn</t>
  </si>
  <si>
    <t xml:space="preserve">Sửa chữa Trường TH&amp;THCS Nà Sáy                                                          </t>
  </si>
  <si>
    <t>Nà Sáy</t>
  </si>
  <si>
    <t>Sửa chữa Trường THCS Mường Mùn</t>
  </si>
  <si>
    <t>Sửa chữa Trường PTDTBT THCS Mùn Chung</t>
  </si>
  <si>
    <t>Mùn Chung</t>
  </si>
  <si>
    <t>Sửa chữa Nhà làm việc Phòng GD&amp;ĐT</t>
  </si>
  <si>
    <t>Công trình khởi công mới 2023</t>
  </si>
  <si>
    <t>Duy tu, sửa chữa trường THCS Chiềng Sinh</t>
  </si>
  <si>
    <t>Duy tu, sửa chữa trường THCS Quài Nưa</t>
  </si>
  <si>
    <t>Duy tu, sửa chữa trường THCS Mường Khong</t>
  </si>
  <si>
    <t>Duy tu, sửa chữa trường THCS Mường Thín</t>
  </si>
  <si>
    <t>Duy tu, sửa chữa trường TH Mùn Chung</t>
  </si>
  <si>
    <t>Duy tu, sửa chữa trường TH Số 1 Quài Nưa</t>
  </si>
  <si>
    <t>Duy tu, sửa chữa trường TH Số 2 Quài Nưa</t>
  </si>
  <si>
    <t>Duy tu, sửa chữa trường MN Mường Thín</t>
  </si>
  <si>
    <t>Duy tu, sửa chữa trường MN Nà Sáy</t>
  </si>
  <si>
    <t>Duy tu, sửa chữa trường MN Phình Sáng</t>
  </si>
  <si>
    <t>Duy tu, sửa chữa trường MN Ta Ma</t>
  </si>
  <si>
    <t>Duy tu, sửa chữa trường MN Mường Mùn</t>
  </si>
  <si>
    <t xml:space="preserve"> Xã Mường Mùn</t>
  </si>
  <si>
    <t xml:space="preserve">DANH MỤC CHI TIẾT KINH PHÍ SỰ NGHIỆP CHƯƠNG TRÌNH MTQG NĂM 2023 </t>
  </si>
  <si>
    <t>Kế hoạch vốn năm 2023</t>
  </si>
  <si>
    <t>Đối ứng NSĐP (3% NSTW)</t>
  </si>
  <si>
    <t>Sửa chữa đường bản Món - bản Hới, xã Quài Tở</t>
  </si>
  <si>
    <t>Sửa chữa đường bản Phiêng Pi - Trung Dình - Trại Phong</t>
  </si>
  <si>
    <t>Sửa chữa Nước sinh hoạt bản Hua Sa B, xã Tỏa Tình</t>
  </si>
  <si>
    <t>Xã Toả Tình</t>
  </si>
  <si>
    <t>Sửa chữa đường Rạng Đông - Ta Ma (giai đoạn II)</t>
  </si>
  <si>
    <t>Xã Rạng Đông; xã Ta Ma</t>
  </si>
  <si>
    <t>Biểu số 06</t>
  </si>
  <si>
    <t>Khối lượng thực hiện (Lũy kế từ khởi công)</t>
  </si>
  <si>
    <t>Tổng mức đầu tư</t>
  </si>
  <si>
    <t>Kế hoạch vốn bố trí năm 2023</t>
  </si>
  <si>
    <t xml:space="preserve"> - Thực hiện chính sách tiền lương theo mức lương cơ sở 1,49 triệu đồng.</t>
  </si>
  <si>
    <t xml:space="preserve"> - Đã bao gồm 10% tiết kiệm năm 2022 để thực hiện CCTL là 9.890 triệu đồng.</t>
  </si>
  <si>
    <t xml:space="preserve"> - Bố trí 10% số thu tiền sử dụng đất, tiền thuê đất huyện hưởng theo quy định tại Quyết định số 191/QĐ-TTg ngày 08/2/2018 của Thủ tướng Chính phủ.</t>
  </si>
  <si>
    <t>Ghi chú:</t>
  </si>
  <si>
    <t xml:space="preserve"> - Định mức phân bổ chi thường xuyên đã bao gồm: </t>
  </si>
  <si>
    <t xml:space="preserve"> + Khen thưởng theo chế độ, thông tin liên lạc, công tác phí, hội nghị, văn phòng phẩm, thanh toán dịch vụ công cộng; đi tập huấn bồi dưỡng nghiệp vụ chuyên môn, chi thực hiện việc chỉ đạo kiểm tra, chi cho công tác tuyên truyền phổ biến giáo dục pháp luật, xây dựng và hoàn thiện rà soát các văn bản quy phạm pháp luật, công tác cải cách hành chính.</t>
  </si>
  <si>
    <t xml:space="preserve"> + Các khoản kinh phí mua sắm, thay thế, sửa chữa thường xuyên tài sản, công cụ, dụng cụ, trang thiết bị, phương tiện làm việc của đơn vị.</t>
  </si>
  <si>
    <t xml:space="preserve"> + Kinh phí hỗ trợ hoạt động của Ban thanh tra nhân dân cấp xã với mức hỗ trợ 05 triệu đồng/Ban/năm.</t>
  </si>
  <si>
    <t xml:space="preserve"> + Kinh phí hoạt động của cấp ủy Đảng; kinh phí hoạt động của HĐND cấp xã; Kinh phí hoạt động của tổ chức Đảng, đoàn thể, hỗ trợ hoạt động công tác đảng theo Quyết định số 99-QĐ/TW ngày 30 tháng 5 năm 2012 của Ban Chấp hành Trung ương Khoá XI; Đại hội theo nhiệm kỳ của các tổ chức chính trị xã hội và tất cả các khoản chi khác phục vụ hoạt động thường xuyên của các cơ quan, đơn vị cấp xã.</t>
  </si>
  <si>
    <t xml:space="preserve"> - Bao gồm 10% tiết kiệm năm 2022 để thực hiện cải cách tiền lương số tiền 1.210 triệu đồng.</t>
  </si>
  <si>
    <t>Ủy ban nhân dân các xã, thị trấn căn cứ vào dự toán giao và tình hình thực tế trên địa bàn trình HĐND cùng cấp quyết định cho phù hợp.</t>
  </si>
  <si>
    <r>
      <t>Ghi chú</t>
    </r>
    <r>
      <rPr>
        <b/>
        <sz val="13"/>
        <rFont val="Times New Roman"/>
        <family val="1"/>
      </rPr>
      <t xml:space="preserve">: </t>
    </r>
  </si>
  <si>
    <t>(Kèm theo Quyết định số 2128 /QĐ-UBND ngày 20 tháng 12 năm 2022 của UBND huyện Tuần Giáo)</t>
  </si>
  <si>
    <t>Giá trị giải ngân (Lũy kế từ khởi công)</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</si>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</sst>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5" formatCode="_(* #,##0_);_(* \(#,##0\);_(* &quot;-&quot;??_);_(@_)"/>
    <numFmt numFmtId="166" formatCode="0.000%"/>
    <numFmt numFmtId="167" formatCode="&quot;$&quot;#,##0;[Red]\-&quot;$&quot;#,##0"/>
    <numFmt numFmtId="168" formatCode="_-&quot;$&quot;* #,##0_-;\-&quot;$&quot;* #,##0_-;_-&quot;$&quot;* &quot;-&quot;_-;_-@_-"/>
    <numFmt numFmtId="169" formatCode="_-* #,##0_-;\-* #,##0_-;_-* &quot;-&quot;_-;_-@_-"/>
    <numFmt numFmtId="170" formatCode="_-&quot;$&quot;* #,##0.00_-;\-&quot;$&quot;* #,##0.00_-;_-&quot;$&quot;* &quot;-&quot;??_-;_-@_-"/>
    <numFmt numFmtId="171" formatCode="00.000"/>
    <numFmt numFmtId="172" formatCode="&quot;￥&quot;#,##0;&quot;￥&quot;\-#,##0"/>
    <numFmt numFmtId="173" formatCode="#,##0\ &quot;DM&quot;;\-#,##0\ &quot;DM&quot;"/>
    <numFmt numFmtId="174" formatCode="\$#,##0\ ;\(\$#,##0\)"/>
    <numFmt numFmtId="175" formatCode="&quot;\&quot;#,##0;[Red]&quot;\&quot;&quot;\&quot;\-#,##0"/>
    <numFmt numFmtId="176" formatCode="&quot;\&quot;#,##0.00;[Red]&quot;\&quot;&quot;\&quot;&quot;\&quot;&quot;\&quot;&quot;\&quot;&quot;\&quot;\-#,##0.00"/>
    <numFmt numFmtId="177" formatCode="_-* #,##0.00_-;\-* #,##0.00_-;_-* &quot;-&quot;??_-;_-@_-"/>
    <numFmt numFmtId="178" formatCode="0.00_)"/>
    <numFmt numFmtId="179" formatCode="#,##0\ &quot;F&quot;;[Red]\-#,##0\ &quot;F&quot;"/>
    <numFmt numFmtId="180" formatCode="#,##0.00\ &quot;F&quot;;\-#,##0.00\ &quot;F&quot;"/>
    <numFmt numFmtId="181" formatCode="#,##0.00\ &quot;F&quot;;[Red]\-#,##0.00\ &quot;F&quot;"/>
    <numFmt numFmtId="182" formatCode="_-* #,##0\ &quot;F&quot;_-;\-* #,##0\ &quot;F&quot;_-;_-* &quot;-&quot;\ &quot;F&quot;_-;_-@_-"/>
    <numFmt numFmtId="183" formatCode="_(* #,##0.000_);_(* \(#,##0.000\);_(* &quot;-&quot;??_);_(@_)"/>
    <numFmt numFmtId="184" formatCode="#,##0.000"/>
    <numFmt numFmtId="185" formatCode="_-* #,##0_-;\-* #,##0_-;_-* &quot;-&quot;??_-;_-@_-"/>
    <numFmt numFmtId="186" formatCode="_-* #,##0.0_-;\-* #,##0.0_-;_-* &quot;-&quot;??_-;_-@_-"/>
  </numFmts>
  <fonts count="53">
    <font>
      <sz val="10"/>
      <name val="Arial"/>
    </font>
    <font>
      <sz val="10"/>
      <name val="Arial"/>
      <family val="2"/>
    </font>
    <font>
      <sz val="10"/>
      <name val="Arial"/>
      <family val="2"/>
    </font>
    <font>
      <sz val="14"/>
      <name val="??"/>
      <family val="3"/>
      <charset val="129"/>
    </font>
    <font>
      <sz val="10"/>
      <name val="???"/>
      <family val="3"/>
      <charset val="129"/>
    </font>
    <font>
      <sz val="12"/>
      <name val="¹UAAA¼"/>
      <family val="3"/>
      <charset val="129"/>
    </font>
    <font>
      <b/>
      <sz val="12"/>
      <name val="Arial"/>
      <family val="2"/>
    </font>
    <font>
      <b/>
      <sz val="18"/>
      <name val="Arial"/>
      <family val="2"/>
    </font>
    <font>
      <sz val="12"/>
      <name val="Arial"/>
      <family val="2"/>
    </font>
    <font>
      <b/>
      <i/>
      <sz val="16"/>
      <name val="Helv"/>
    </font>
    <font>
      <sz val="13"/>
      <name val=".VnTime"/>
      <family val="2"/>
    </font>
    <font>
      <sz val="14"/>
      <name val="뼻뮝"/>
      <family val="3"/>
    </font>
    <font>
      <sz val="12"/>
      <name val="바탕체"/>
      <family val="3"/>
    </font>
    <font>
      <sz val="12"/>
      <name val="뼻뮝"/>
      <family val="3"/>
    </font>
    <font>
      <sz val="9"/>
      <name val="Arial"/>
      <family val="2"/>
    </font>
    <font>
      <sz val="11"/>
      <name val="돋움"/>
      <family val="3"/>
    </font>
    <font>
      <sz val="10"/>
      <name val="굴림체"/>
      <family val="3"/>
    </font>
    <font>
      <sz val="12"/>
      <name val="Courier"/>
      <family val="3"/>
    </font>
    <font>
      <sz val="10"/>
      <name val=" "/>
      <family val="1"/>
      <charset val="136"/>
    </font>
    <font>
      <sz val="12"/>
      <name val="Times New Roman"/>
      <family val="1"/>
    </font>
    <font>
      <sz val="14"/>
      <name val="Times New Roman"/>
      <family val="1"/>
    </font>
    <font>
      <sz val="10"/>
      <name val="??"/>
      <family val="3"/>
      <charset val="129"/>
    </font>
    <font>
      <sz val="11"/>
      <name val="Times New Roman"/>
      <family val="1"/>
    </font>
    <font>
      <sz val="10"/>
      <name val="Times New Roman"/>
      <family val="1"/>
    </font>
    <font>
      <b/>
      <sz val="12"/>
      <name val="Times New Roman"/>
      <family val="1"/>
    </font>
    <font>
      <i/>
      <sz val="12"/>
      <name val="Times New Roman"/>
      <family val="1"/>
    </font>
    <font>
      <sz val="14"/>
      <name val="Times New Roman"/>
      <family val="1"/>
    </font>
    <font>
      <sz val="9"/>
      <name val="Times New Roman"/>
      <family val="1"/>
    </font>
    <font>
      <sz val="8"/>
      <name val="Arial"/>
      <family val="2"/>
    </font>
    <font>
      <sz val="12"/>
      <name val=".VnTime"/>
      <family val="2"/>
    </font>
    <font>
      <b/>
      <sz val="11"/>
      <name val="Times New Roman"/>
      <family val="1"/>
    </font>
    <font>
      <b/>
      <sz val="14"/>
      <name val="Times New Roman"/>
      <family val="1"/>
    </font>
    <font>
      <b/>
      <sz val="9"/>
      <name val="Times New Roman"/>
      <family val="1"/>
    </font>
    <font>
      <b/>
      <sz val="8"/>
      <name val="Times New Roman"/>
      <family val="1"/>
    </font>
    <font>
      <b/>
      <u/>
      <sz val="11"/>
      <name val="Times New Roman"/>
      <family val="1"/>
    </font>
    <font>
      <b/>
      <u/>
      <sz val="9"/>
      <name val="Times New Roman"/>
      <family val="1"/>
    </font>
    <font>
      <u/>
      <sz val="12"/>
      <name val="Times New Roman"/>
      <family val="1"/>
    </font>
    <font>
      <u/>
      <sz val="9"/>
      <name val="Times New Roman"/>
      <family val="1"/>
    </font>
    <font>
      <sz val="9"/>
      <color indexed="81"/>
      <name val="Tahoma"/>
      <family val="2"/>
    </font>
    <font>
      <b/>
      <sz val="9"/>
      <color indexed="81"/>
      <name val="Tahoma"/>
      <family val="2"/>
    </font>
    <font>
      <sz val="10"/>
      <name val="Times New Roman"/>
      <family val="1"/>
      <charset val="163"/>
    </font>
    <font>
      <b/>
      <sz val="10"/>
      <name val="Times New Roman"/>
      <family val="1"/>
    </font>
    <font>
      <i/>
      <sz val="9"/>
      <name val="Times New Roman"/>
      <family val="1"/>
    </font>
    <font>
      <sz val="8"/>
      <name val="Times New Roman"/>
      <family val="1"/>
    </font>
    <font>
      <sz val="7"/>
      <name val="Times New Roman"/>
      <family val="1"/>
    </font>
    <font>
      <b/>
      <u/>
      <sz val="12"/>
      <name val="Times New Roman"/>
      <family val="1"/>
    </font>
    <font>
      <b/>
      <i/>
      <sz val="12"/>
      <name val="Times New Roman"/>
      <family val="1"/>
    </font>
    <font>
      <i/>
      <sz val="13"/>
      <name val="Times New Roman"/>
      <family val="1"/>
    </font>
    <font>
      <sz val="11"/>
      <color indexed="8"/>
      <name val="Calibri"/>
      <family val="2"/>
    </font>
    <font>
      <sz val="11"/>
      <color theme="1"/>
      <name val="Times New Roman"/>
      <family val="1"/>
    </font>
    <font>
      <b/>
      <sz val="13"/>
      <name val="Times New Roman"/>
      <family val="1"/>
    </font>
    <font>
      <sz val="13"/>
      <name val="Times New Roman"/>
      <family val="1"/>
    </font>
    <font>
      <b/>
      <u/>
      <sz val="13"/>
      <name val="Times New Roman"/>
      <family val="1"/>
    </font>
  </fonts>
  <fills count="3">
    <fill>
      <patternFill patternType="none"/>
    </fill>
    <fill>
      <patternFill patternType="gray125"/>
    </fill>
    <fill>
      <patternFill patternType="solid">
        <fgColor theme="0"/>
        <bgColor indexed="64"/>
      </patternFill>
    </fill>
  </fills>
  <borders count="2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3">
    <xf numFmtId="0" fontId="0" fillId="0" borderId="0"/>
    <xf numFmtId="176" fontId="2" fillId="0" borderId="0" applyFont="0" applyFill="0" applyBorder="0" applyAlignment="0" applyProtection="0"/>
    <xf numFmtId="0" fontId="3" fillId="0" borderId="0" applyFont="0" applyFill="0" applyBorder="0" applyAlignment="0" applyProtection="0"/>
    <xf numFmtId="175" fontId="2" fillId="0" borderId="0" applyFont="0" applyFill="0" applyBorder="0" applyAlignment="0" applyProtection="0"/>
    <xf numFmtId="40" fontId="3" fillId="0" borderId="0" applyFont="0" applyFill="0" applyBorder="0" applyAlignment="0" applyProtection="0"/>
    <xf numFmtId="38" fontId="3" fillId="0" borderId="0" applyFont="0" applyFill="0" applyBorder="0" applyAlignment="0" applyProtection="0"/>
    <xf numFmtId="10" fontId="2" fillId="0" borderId="0" applyFont="0" applyFill="0" applyBorder="0" applyAlignment="0" applyProtection="0"/>
    <xf numFmtId="0" fontId="4" fillId="0" borderId="0"/>
    <xf numFmtId="0" fontId="2"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164" fontId="1" fillId="0" borderId="0" applyFont="0" applyFill="0" applyBorder="0" applyAlignment="0" applyProtection="0"/>
    <xf numFmtId="164" fontId="20" fillId="0" borderId="0" applyFont="0" applyFill="0" applyBorder="0" applyAlignment="0" applyProtection="0"/>
    <xf numFmtId="164" fontId="19" fillId="0" borderId="0" applyFont="0" applyFill="0" applyBorder="0" applyAlignment="0" applyProtection="0"/>
    <xf numFmtId="3" fontId="2" fillId="0" borderId="0" applyFont="0" applyFill="0" applyBorder="0" applyAlignment="0" applyProtection="0"/>
    <xf numFmtId="174"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xf numFmtId="0" fontId="6" fillId="0" borderId="0" applyNumberFormat="0" applyFill="0" applyBorder="0" applyAlignment="0" applyProtection="0"/>
    <xf numFmtId="0" fontId="26" fillId="0" borderId="0"/>
    <xf numFmtId="0" fontId="8" fillId="0" borderId="0" applyNumberFormat="0" applyFont="0" applyFill="0" applyAlignment="0"/>
    <xf numFmtId="178" fontId="9" fillId="0" borderId="0"/>
    <xf numFmtId="0" fontId="2" fillId="0" borderId="0"/>
    <xf numFmtId="0" fontId="29" fillId="0" borderId="0"/>
    <xf numFmtId="0" fontId="40" fillId="0" borderId="0"/>
    <xf numFmtId="0" fontId="19" fillId="0" borderId="0"/>
    <xf numFmtId="0" fontId="29" fillId="0" borderId="0"/>
    <xf numFmtId="0" fontId="19" fillId="0" borderId="0"/>
    <xf numFmtId="181" fontId="10" fillId="0" borderId="3">
      <alignment horizontal="right" vertical="center"/>
    </xf>
    <xf numFmtId="0" fontId="2" fillId="0" borderId="4" applyNumberFormat="0" applyFont="0" applyFill="0" applyAlignment="0" applyProtection="0"/>
    <xf numFmtId="182" fontId="10" fillId="0" borderId="3">
      <alignment horizontal="center"/>
    </xf>
    <xf numFmtId="179" fontId="10" fillId="0" borderId="0"/>
    <xf numFmtId="180" fontId="10" fillId="0" borderId="5"/>
    <xf numFmtId="0" fontId="18" fillId="0" borderId="0" applyFont="0" applyFill="0" applyBorder="0" applyAlignment="0" applyProtection="0"/>
    <xf numFmtId="0" fontId="18" fillId="0" borderId="0" applyFont="0" applyFill="0" applyBorder="0" applyAlignment="0" applyProtection="0"/>
    <xf numFmtId="0" fontId="19" fillId="0" borderId="0">
      <alignment vertical="center"/>
    </xf>
    <xf numFmtId="40" fontId="11" fillId="0" borderId="0" applyFont="0" applyFill="0" applyBorder="0" applyAlignment="0" applyProtection="0"/>
    <xf numFmtId="3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9" fontId="12" fillId="0" borderId="0" applyFont="0" applyFill="0" applyBorder="0" applyAlignment="0" applyProtection="0"/>
    <xf numFmtId="0" fontId="13" fillId="0" borderId="0"/>
    <xf numFmtId="173" fontId="15" fillId="0" borderId="0" applyFont="0" applyFill="0" applyBorder="0" applyAlignment="0" applyProtection="0"/>
    <xf numFmtId="166" fontId="15" fillId="0" borderId="0" applyFont="0" applyFill="0" applyBorder="0" applyAlignment="0" applyProtection="0"/>
    <xf numFmtId="172" fontId="15" fillId="0" borderId="0" applyFont="0" applyFill="0" applyBorder="0" applyAlignment="0" applyProtection="0"/>
    <xf numFmtId="171" fontId="15" fillId="0" borderId="0" applyFont="0" applyFill="0" applyBorder="0" applyAlignment="0" applyProtection="0"/>
    <xf numFmtId="0" fontId="16" fillId="0" borderId="0"/>
    <xf numFmtId="0" fontId="8" fillId="0" borderId="0"/>
    <xf numFmtId="169" fontId="14" fillId="0" borderId="0" applyFont="0" applyFill="0" applyBorder="0" applyAlignment="0" applyProtection="0"/>
    <xf numFmtId="177" fontId="14" fillId="0" borderId="0" applyFont="0" applyFill="0" applyBorder="0" applyAlignment="0" applyProtection="0"/>
    <xf numFmtId="168" fontId="14" fillId="0" borderId="0" applyFont="0" applyFill="0" applyBorder="0" applyAlignment="0" applyProtection="0"/>
    <xf numFmtId="167" fontId="17" fillId="0" borderId="0" applyFont="0" applyFill="0" applyBorder="0" applyAlignment="0" applyProtection="0"/>
    <xf numFmtId="170" fontId="14" fillId="0" borderId="0" applyFont="0" applyFill="0" applyBorder="0" applyAlignment="0" applyProtection="0"/>
    <xf numFmtId="164" fontId="19" fillId="0" borderId="0" applyFont="0" applyFill="0" applyBorder="0" applyAlignment="0" applyProtection="0"/>
    <xf numFmtId="0" fontId="48" fillId="0" borderId="0"/>
    <xf numFmtId="0" fontId="1" fillId="0" borderId="0"/>
  </cellStyleXfs>
  <cellXfs count="332">
    <xf numFmtId="0" fontId="0" fillId="0" borderId="0" xfId="0"/>
    <xf numFmtId="0" fontId="2" fillId="0" borderId="0" xfId="8"/>
    <xf numFmtId="0" fontId="2" fillId="0" borderId="6" xfId="8" applyBorder="1"/>
    <xf numFmtId="0" fontId="21" fillId="0" borderId="7" xfId="8" applyFont="1" applyBorder="1"/>
    <xf numFmtId="0" fontId="21" fillId="0" borderId="8" xfId="8" applyFont="1" applyBorder="1"/>
    <xf numFmtId="0" fontId="2" fillId="0" borderId="8" xfId="8" applyBorder="1"/>
    <xf numFmtId="0" fontId="2" fillId="0" borderId="9" xfId="8" applyBorder="1"/>
    <xf numFmtId="0" fontId="20" fillId="0" borderId="0" xfId="0" applyFont="1"/>
    <xf numFmtId="0" fontId="19" fillId="0" borderId="0" xfId="0" applyFont="1"/>
    <xf numFmtId="0" fontId="20" fillId="0" borderId="0" xfId="0" applyFont="1" applyAlignment="1">
      <alignment horizontal="center"/>
    </xf>
    <xf numFmtId="0" fontId="24" fillId="0" borderId="0" xfId="0" applyFont="1"/>
    <xf numFmtId="0" fontId="19" fillId="0" borderId="5" xfId="0" applyFont="1" applyBorder="1"/>
    <xf numFmtId="0" fontId="24" fillId="0" borderId="10" xfId="0" applyFont="1" applyBorder="1" applyAlignment="1">
      <alignment horizontal="center" vertical="center" wrapText="1"/>
    </xf>
    <xf numFmtId="0" fontId="24" fillId="0" borderId="5" xfId="0" applyFont="1" applyBorder="1"/>
    <xf numFmtId="165" fontId="24" fillId="0" borderId="0" xfId="0" applyNumberFormat="1" applyFont="1" applyAlignment="1">
      <alignment horizontal="right"/>
    </xf>
    <xf numFmtId="0" fontId="24" fillId="0" borderId="0" xfId="0" applyFont="1" applyAlignment="1">
      <alignment horizontal="center"/>
    </xf>
    <xf numFmtId="165" fontId="19" fillId="0" borderId="0" xfId="0" applyNumberFormat="1" applyFont="1" applyAlignment="1">
      <alignment horizontal="right"/>
    </xf>
    <xf numFmtId="165" fontId="24" fillId="0" borderId="0" xfId="0" applyNumberFormat="1" applyFont="1"/>
    <xf numFmtId="0" fontId="19" fillId="0" borderId="5" xfId="0" applyFont="1" applyBorder="1" applyAlignment="1">
      <alignment horizontal="center"/>
    </xf>
    <xf numFmtId="165" fontId="24" fillId="0" borderId="5" xfId="0" applyNumberFormat="1" applyFont="1" applyBorder="1" applyAlignment="1">
      <alignment horizontal="center"/>
    </xf>
    <xf numFmtId="0" fontId="24" fillId="0" borderId="10" xfId="0" applyFont="1" applyBorder="1" applyAlignment="1">
      <alignment horizontal="center" vertical="center"/>
    </xf>
    <xf numFmtId="0" fontId="19" fillId="0" borderId="5" xfId="0" applyFont="1" applyBorder="1" applyAlignment="1">
      <alignment horizontal="center" vertical="center"/>
    </xf>
    <xf numFmtId="0" fontId="19" fillId="0" borderId="5" xfId="0" applyFont="1" applyBorder="1" applyAlignment="1">
      <alignment horizontal="center" vertical="center" wrapText="1"/>
    </xf>
    <xf numFmtId="3" fontId="24" fillId="0" borderId="0" xfId="0" applyNumberFormat="1" applyFont="1"/>
    <xf numFmtId="3" fontId="19" fillId="2" borderId="0" xfId="0" applyNumberFormat="1" applyFont="1" applyFill="1"/>
    <xf numFmtId="2" fontId="20" fillId="2" borderId="0" xfId="0" applyNumberFormat="1" applyFont="1" applyFill="1"/>
    <xf numFmtId="3" fontId="19" fillId="0" borderId="0" xfId="0" applyNumberFormat="1" applyFont="1" applyFill="1"/>
    <xf numFmtId="0" fontId="19" fillId="0" borderId="0" xfId="0" applyFont="1" applyAlignment="1">
      <alignment horizontal="center"/>
    </xf>
    <xf numFmtId="0" fontId="24" fillId="0" borderId="5" xfId="0" applyFont="1" applyBorder="1" applyAlignment="1">
      <alignment horizontal="center"/>
    </xf>
    <xf numFmtId="0" fontId="47" fillId="2" borderId="0" xfId="0" applyFont="1" applyFill="1" applyBorder="1" applyAlignment="1">
      <alignment wrapText="1"/>
    </xf>
    <xf numFmtId="0" fontId="47" fillId="2" borderId="0" xfId="0" applyFont="1" applyFill="1" applyBorder="1" applyAlignment="1">
      <alignment horizontal="center" wrapText="1"/>
    </xf>
    <xf numFmtId="0" fontId="24" fillId="0" borderId="1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5" xfId="0" applyFont="1" applyFill="1" applyBorder="1"/>
    <xf numFmtId="165" fontId="19" fillId="0" borderId="5" xfId="0" applyNumberFormat="1" applyFont="1" applyFill="1" applyBorder="1" applyAlignment="1">
      <alignment horizontal="center"/>
    </xf>
    <xf numFmtId="0" fontId="19" fillId="0" borderId="5" xfId="0" applyFont="1" applyFill="1" applyBorder="1" applyAlignment="1">
      <alignment horizontal="center"/>
    </xf>
    <xf numFmtId="165" fontId="24" fillId="0" borderId="5" xfId="0" applyNumberFormat="1" applyFont="1" applyFill="1" applyBorder="1" applyAlignment="1">
      <alignment horizontal="center"/>
    </xf>
    <xf numFmtId="0" fontId="19" fillId="0" borderId="0" xfId="0" applyFont="1" applyFill="1" applyBorder="1" applyAlignment="1">
      <alignment horizontal="center"/>
    </xf>
    <xf numFmtId="165" fontId="24" fillId="0" borderId="0" xfId="0" applyNumberFormat="1" applyFont="1" applyFill="1" applyAlignment="1">
      <alignment horizontal="center"/>
    </xf>
    <xf numFmtId="3" fontId="20" fillId="0" borderId="0" xfId="0" applyNumberFormat="1" applyFont="1" applyFill="1"/>
    <xf numFmtId="0" fontId="20" fillId="0" borderId="0" xfId="0" applyFont="1" applyFill="1"/>
    <xf numFmtId="165" fontId="19" fillId="2" borderId="0" xfId="17" applyNumberFormat="1" applyFont="1" applyFill="1" applyAlignment="1">
      <alignment horizontal="center" vertical="center" wrapText="1"/>
    </xf>
    <xf numFmtId="164" fontId="19" fillId="2" borderId="0" xfId="17" applyFont="1" applyFill="1" applyAlignment="1">
      <alignment vertical="center" wrapText="1"/>
    </xf>
    <xf numFmtId="165" fontId="19" fillId="2" borderId="0" xfId="15" applyNumberFormat="1" applyFont="1" applyFill="1" applyAlignment="1">
      <alignment horizontal="right" vertical="center" wrapText="1"/>
    </xf>
    <xf numFmtId="183" fontId="24" fillId="2" borderId="0" xfId="17" applyNumberFormat="1" applyFont="1" applyFill="1" applyBorder="1" applyAlignment="1">
      <alignment horizontal="center" wrapText="1"/>
    </xf>
    <xf numFmtId="183" fontId="19" fillId="2" borderId="0" xfId="17" applyNumberFormat="1" applyFont="1" applyFill="1" applyAlignment="1">
      <alignment vertical="center" wrapText="1"/>
    </xf>
    <xf numFmtId="183" fontId="25" fillId="2" borderId="0" xfId="17" applyNumberFormat="1" applyFont="1" applyFill="1" applyBorder="1" applyAlignment="1">
      <alignment horizontal="center" wrapText="1"/>
    </xf>
    <xf numFmtId="165" fontId="24" fillId="2" borderId="0" xfId="17" applyNumberFormat="1" applyFont="1" applyFill="1" applyAlignment="1">
      <alignment horizontal="center" vertical="center" wrapText="1"/>
    </xf>
    <xf numFmtId="164" fontId="24" fillId="2" borderId="0" xfId="17" applyFont="1" applyFill="1" applyAlignment="1">
      <alignment horizontal="center" vertical="center" wrapText="1"/>
    </xf>
    <xf numFmtId="165" fontId="24" fillId="2" borderId="5" xfId="17" applyNumberFormat="1" applyFont="1" applyFill="1" applyBorder="1" applyAlignment="1">
      <alignment horizontal="center" vertical="center" wrapText="1"/>
    </xf>
    <xf numFmtId="164" fontId="24" fillId="2" borderId="5" xfId="17" applyFont="1" applyFill="1" applyBorder="1" applyAlignment="1">
      <alignment horizontal="center" vertical="center" wrapText="1"/>
    </xf>
    <xf numFmtId="165" fontId="30" fillId="2" borderId="5" xfId="15" applyNumberFormat="1" applyFont="1" applyFill="1" applyBorder="1" applyAlignment="1">
      <alignment horizontal="center" vertical="center" wrapText="1"/>
    </xf>
    <xf numFmtId="164" fontId="24" fillId="2" borderId="5" xfId="17" applyFont="1" applyFill="1" applyBorder="1" applyAlignment="1">
      <alignment vertical="center" wrapText="1"/>
    </xf>
    <xf numFmtId="165" fontId="24" fillId="2" borderId="5" xfId="15" applyNumberFormat="1" applyFont="1" applyFill="1" applyBorder="1" applyAlignment="1">
      <alignment horizontal="right" vertical="center" wrapText="1"/>
    </xf>
    <xf numFmtId="164" fontId="24" fillId="2" borderId="5" xfId="17" applyFont="1" applyFill="1" applyBorder="1" applyAlignment="1">
      <alignment horizontal="left" vertical="center" wrapText="1"/>
    </xf>
    <xf numFmtId="164" fontId="24" fillId="2" borderId="0" xfId="17" applyFont="1" applyFill="1" applyAlignment="1">
      <alignment vertical="center" wrapText="1"/>
    </xf>
    <xf numFmtId="164" fontId="19" fillId="2" borderId="5" xfId="17" quotePrefix="1" applyFont="1" applyFill="1" applyBorder="1" applyAlignment="1">
      <alignment horizontal="center" vertical="center" wrapText="1"/>
    </xf>
    <xf numFmtId="164" fontId="19" fillId="2" borderId="5" xfId="17" applyFont="1" applyFill="1" applyBorder="1" applyAlignment="1">
      <alignment vertical="center" wrapText="1"/>
    </xf>
    <xf numFmtId="165" fontId="19" fillId="2" borderId="5" xfId="15" applyNumberFormat="1" applyFont="1" applyFill="1" applyBorder="1" applyAlignment="1">
      <alignment horizontal="right" vertical="center" wrapText="1"/>
    </xf>
    <xf numFmtId="164" fontId="19" fillId="2" borderId="0" xfId="17" applyFont="1" applyFill="1" applyAlignment="1">
      <alignment horizontal="center" vertical="center" wrapText="1"/>
    </xf>
    <xf numFmtId="165" fontId="19" fillId="2" borderId="5" xfId="17" quotePrefix="1" applyNumberFormat="1" applyFont="1" applyFill="1" applyBorder="1" applyAlignment="1">
      <alignment horizontal="center" vertical="center" wrapText="1"/>
    </xf>
    <xf numFmtId="164" fontId="19" fillId="2" borderId="5" xfId="17" applyFont="1" applyFill="1" applyBorder="1" applyAlignment="1">
      <alignment horizontal="left" vertical="center" wrapText="1"/>
    </xf>
    <xf numFmtId="1" fontId="24" fillId="2" borderId="5" xfId="16" applyNumberFormat="1" applyFont="1" applyFill="1" applyBorder="1" applyAlignment="1">
      <alignment horizontal="center" vertical="center" wrapText="1"/>
    </xf>
    <xf numFmtId="165" fontId="24" fillId="2" borderId="5" xfId="16" applyNumberFormat="1" applyFont="1" applyFill="1" applyBorder="1" applyAlignment="1">
      <alignment horizontal="left" vertical="center" wrapText="1"/>
    </xf>
    <xf numFmtId="165" fontId="19" fillId="2" borderId="5" xfId="16" quotePrefix="1" applyNumberFormat="1" applyFont="1" applyFill="1" applyBorder="1" applyAlignment="1">
      <alignment horizontal="center" vertical="center" wrapText="1"/>
    </xf>
    <xf numFmtId="165" fontId="19" fillId="2" borderId="5" xfId="16" applyNumberFormat="1" applyFont="1" applyFill="1" applyBorder="1" applyAlignment="1">
      <alignment horizontal="left" vertical="center" wrapText="1"/>
    </xf>
    <xf numFmtId="165" fontId="19" fillId="2" borderId="5" xfId="16" applyNumberFormat="1" applyFont="1" applyFill="1" applyBorder="1" applyAlignment="1">
      <alignment horizontal="center" vertical="center" wrapText="1"/>
    </xf>
    <xf numFmtId="1" fontId="24" fillId="2" borderId="5" xfId="16" quotePrefix="1" applyNumberFormat="1" applyFont="1" applyFill="1" applyBorder="1" applyAlignment="1">
      <alignment horizontal="center" vertical="center" wrapText="1"/>
    </xf>
    <xf numFmtId="1" fontId="24" fillId="2" borderId="5" xfId="17" quotePrefix="1" applyNumberFormat="1" applyFont="1" applyFill="1" applyBorder="1" applyAlignment="1">
      <alignment horizontal="center" vertical="center" wrapText="1"/>
    </xf>
    <xf numFmtId="1" fontId="24" fillId="2" borderId="5" xfId="17" applyNumberFormat="1" applyFont="1" applyFill="1" applyBorder="1" applyAlignment="1">
      <alignment horizontal="center" vertical="center" wrapText="1"/>
    </xf>
    <xf numFmtId="165" fontId="19" fillId="2" borderId="5" xfId="17" applyNumberFormat="1" applyFont="1" applyFill="1" applyBorder="1" applyAlignment="1">
      <alignment horizontal="center" vertical="center" wrapText="1"/>
    </xf>
    <xf numFmtId="3" fontId="24" fillId="2" borderId="5" xfId="17" applyNumberFormat="1" applyFont="1" applyFill="1" applyBorder="1" applyAlignment="1">
      <alignment horizontal="center" vertical="center" wrapText="1"/>
    </xf>
    <xf numFmtId="0" fontId="19" fillId="2" borderId="0" xfId="0" applyFont="1" applyFill="1"/>
    <xf numFmtId="3" fontId="23" fillId="2" borderId="0" xfId="0" applyNumberFormat="1" applyFont="1" applyFill="1"/>
    <xf numFmtId="3" fontId="45" fillId="2" borderId="0" xfId="0" applyNumberFormat="1" applyFont="1" applyFill="1"/>
    <xf numFmtId="0" fontId="45" fillId="2" borderId="0" xfId="0" applyFont="1" applyFill="1"/>
    <xf numFmtId="3" fontId="24" fillId="2" borderId="0" xfId="0" applyNumberFormat="1" applyFont="1" applyFill="1"/>
    <xf numFmtId="0" fontId="24" fillId="2" borderId="0" xfId="0" applyFont="1" applyFill="1"/>
    <xf numFmtId="165" fontId="19" fillId="2" borderId="0" xfId="15" applyNumberFormat="1" applyFont="1" applyFill="1"/>
    <xf numFmtId="3" fontId="22" fillId="2" borderId="0" xfId="0" applyNumberFormat="1" applyFont="1" applyFill="1" applyAlignment="1">
      <alignment horizontal="center"/>
    </xf>
    <xf numFmtId="165" fontId="27" fillId="2" borderId="0" xfId="15" applyNumberFormat="1" applyFont="1" applyFill="1"/>
    <xf numFmtId="3" fontId="32" fillId="2" borderId="5" xfId="0" applyNumberFormat="1" applyFont="1" applyFill="1" applyBorder="1" applyAlignment="1">
      <alignment horizontal="center" vertical="center"/>
    </xf>
    <xf numFmtId="3" fontId="30" fillId="2" borderId="5" xfId="0" applyNumberFormat="1" applyFont="1" applyFill="1" applyBorder="1" applyAlignment="1">
      <alignment horizontal="center" vertical="center"/>
    </xf>
    <xf numFmtId="3" fontId="32" fillId="2" borderId="5" xfId="0" applyNumberFormat="1" applyFont="1" applyFill="1" applyBorder="1" applyAlignment="1">
      <alignment horizontal="center" vertical="center" wrapText="1"/>
    </xf>
    <xf numFmtId="3" fontId="33" fillId="2" borderId="5" xfId="0" applyNumberFormat="1" applyFont="1" applyFill="1" applyBorder="1" applyAlignment="1">
      <alignment horizontal="center" vertical="center" wrapText="1"/>
    </xf>
    <xf numFmtId="3" fontId="19" fillId="2" borderId="0" xfId="0" applyNumberFormat="1" applyFont="1" applyFill="1" applyAlignment="1">
      <alignment horizontal="center"/>
    </xf>
    <xf numFmtId="3" fontId="30" fillId="2" borderId="0" xfId="0" applyNumberFormat="1" applyFont="1" applyFill="1" applyAlignment="1">
      <alignment horizontal="center"/>
    </xf>
    <xf numFmtId="3" fontId="43" fillId="2" borderId="5" xfId="0" applyNumberFormat="1" applyFont="1" applyFill="1" applyBorder="1" applyAlignment="1">
      <alignment horizontal="center" vertical="center"/>
    </xf>
    <xf numFmtId="3" fontId="44" fillId="2" borderId="5" xfId="0" applyNumberFormat="1" applyFont="1" applyFill="1" applyBorder="1" applyAlignment="1">
      <alignment horizontal="center" vertical="center" wrapText="1"/>
    </xf>
    <xf numFmtId="3" fontId="43" fillId="2" borderId="5" xfId="0" applyNumberFormat="1" applyFont="1" applyFill="1" applyBorder="1" applyAlignment="1">
      <alignment horizontal="center" vertical="center" wrapText="1"/>
    </xf>
    <xf numFmtId="3" fontId="43" fillId="2" borderId="0" xfId="0" applyNumberFormat="1" applyFont="1" applyFill="1" applyAlignment="1">
      <alignment horizontal="center"/>
    </xf>
    <xf numFmtId="3" fontId="19" fillId="2" borderId="0" xfId="0" applyNumberFormat="1" applyFont="1" applyFill="1" applyBorder="1"/>
    <xf numFmtId="3" fontId="36" fillId="2" borderId="0" xfId="0" applyNumberFormat="1" applyFont="1" applyFill="1" applyBorder="1"/>
    <xf numFmtId="3" fontId="24" fillId="2" borderId="0" xfId="0" applyNumberFormat="1" applyFont="1" applyFill="1" applyBorder="1"/>
    <xf numFmtId="3" fontId="22" fillId="2" borderId="0" xfId="0" applyNumberFormat="1" applyFont="1" applyFill="1" applyBorder="1"/>
    <xf numFmtId="3" fontId="32" fillId="2" borderId="0" xfId="0" applyNumberFormat="1" applyFont="1" applyFill="1" applyBorder="1"/>
    <xf numFmtId="0" fontId="36" fillId="2" borderId="0" xfId="0" applyFont="1" applyFill="1"/>
    <xf numFmtId="0" fontId="41" fillId="2" borderId="0" xfId="0" applyFont="1" applyFill="1"/>
    <xf numFmtId="3" fontId="41" fillId="2" borderId="0" xfId="0" applyNumberFormat="1" applyFont="1" applyFill="1"/>
    <xf numFmtId="0" fontId="23" fillId="2" borderId="0" xfId="0" applyFont="1" applyFill="1"/>
    <xf numFmtId="3" fontId="30" fillId="2" borderId="5" xfId="0" applyNumberFormat="1" applyFont="1" applyFill="1" applyBorder="1" applyAlignment="1">
      <alignment horizontal="center" vertical="center" wrapText="1"/>
    </xf>
    <xf numFmtId="165" fontId="19" fillId="2" borderId="0" xfId="17" applyNumberFormat="1" applyFont="1" applyFill="1" applyAlignment="1">
      <alignment horizontal="right" vertical="center" wrapText="1"/>
    </xf>
    <xf numFmtId="165" fontId="24" fillId="2" borderId="0" xfId="17" applyNumberFormat="1" applyFont="1" applyFill="1" applyAlignment="1">
      <alignment horizontal="right" vertical="center" wrapText="1"/>
    </xf>
    <xf numFmtId="165" fontId="24" fillId="2" borderId="5" xfId="17" applyNumberFormat="1" applyFont="1" applyFill="1" applyBorder="1" applyAlignment="1">
      <alignment horizontal="right" vertical="center" wrapText="1"/>
    </xf>
    <xf numFmtId="165" fontId="19" fillId="2" borderId="5" xfId="17" applyNumberFormat="1" applyFont="1" applyFill="1" applyBorder="1" applyAlignment="1">
      <alignment horizontal="right" vertical="center" wrapText="1"/>
    </xf>
    <xf numFmtId="0" fontId="20" fillId="0" borderId="0" xfId="0" applyFont="1" applyAlignment="1">
      <alignment horizontal="center" vertical="center"/>
    </xf>
    <xf numFmtId="0" fontId="20" fillId="0" borderId="0" xfId="0" applyFont="1" applyAlignment="1">
      <alignment vertical="center"/>
    </xf>
    <xf numFmtId="0" fontId="19" fillId="0" borderId="0" xfId="0" applyFont="1" applyFill="1" applyAlignment="1">
      <alignment horizontal="center" vertical="center"/>
    </xf>
    <xf numFmtId="0" fontId="25" fillId="0" borderId="0" xfId="0" applyFont="1" applyFill="1" applyBorder="1" applyAlignment="1">
      <alignment horizontal="center" vertical="center"/>
    </xf>
    <xf numFmtId="0" fontId="24" fillId="0" borderId="5" xfId="0" applyFont="1" applyBorder="1" applyAlignment="1">
      <alignment horizontal="center" vertical="center"/>
    </xf>
    <xf numFmtId="0" fontId="24" fillId="0" borderId="5" xfId="0" applyFont="1" applyBorder="1" applyAlignment="1">
      <alignment horizontal="left" vertical="center"/>
    </xf>
    <xf numFmtId="165" fontId="24" fillId="0" borderId="5" xfId="15" applyNumberFormat="1" applyFont="1" applyFill="1" applyBorder="1" applyAlignment="1">
      <alignment vertical="center"/>
    </xf>
    <xf numFmtId="0" fontId="19" fillId="0" borderId="5" xfId="0" applyFont="1" applyBorder="1" applyAlignment="1">
      <alignment vertical="center"/>
    </xf>
    <xf numFmtId="0" fontId="24" fillId="0" borderId="5" xfId="0" applyFont="1" applyBorder="1" applyAlignment="1">
      <alignment vertical="center"/>
    </xf>
    <xf numFmtId="165" fontId="19" fillId="0" borderId="5" xfId="15" applyNumberFormat="1" applyFont="1" applyFill="1" applyBorder="1" applyAlignment="1">
      <alignment vertical="center"/>
    </xf>
    <xf numFmtId="165" fontId="27" fillId="2" borderId="0" xfId="15" applyNumberFormat="1" applyFont="1" applyFill="1" applyAlignment="1">
      <alignment horizontal="center" vertical="center"/>
    </xf>
    <xf numFmtId="165" fontId="32" fillId="2" borderId="0" xfId="15" applyNumberFormat="1" applyFont="1" applyFill="1" applyBorder="1" applyAlignment="1">
      <alignment vertical="center"/>
    </xf>
    <xf numFmtId="165" fontId="41" fillId="2" borderId="11" xfId="15" applyNumberFormat="1" applyFont="1" applyFill="1" applyBorder="1" applyAlignment="1">
      <alignment vertical="center"/>
    </xf>
    <xf numFmtId="165" fontId="27" fillId="2" borderId="11" xfId="15" applyNumberFormat="1" applyFont="1" applyFill="1" applyBorder="1" applyAlignment="1">
      <alignment vertical="center"/>
    </xf>
    <xf numFmtId="165" fontId="27" fillId="2" borderId="0" xfId="15" applyNumberFormat="1" applyFont="1" applyFill="1" applyAlignment="1">
      <alignment vertical="center"/>
    </xf>
    <xf numFmtId="3" fontId="34" fillId="2" borderId="5" xfId="0" applyNumberFormat="1" applyFont="1" applyFill="1" applyBorder="1" applyAlignment="1">
      <alignment horizontal="center" vertical="center"/>
    </xf>
    <xf numFmtId="3" fontId="35" fillId="2" borderId="5" xfId="0" applyNumberFormat="1" applyFont="1" applyFill="1" applyBorder="1" applyAlignment="1">
      <alignment horizontal="left" vertical="center"/>
    </xf>
    <xf numFmtId="165" fontId="35" fillId="2" borderId="5" xfId="0" applyNumberFormat="1" applyFont="1" applyFill="1" applyBorder="1" applyAlignment="1">
      <alignment horizontal="right" vertical="center"/>
    </xf>
    <xf numFmtId="3" fontId="35" fillId="2" borderId="5" xfId="0" applyNumberFormat="1" applyFont="1" applyFill="1" applyBorder="1" applyAlignment="1">
      <alignment horizontal="center" vertical="center"/>
    </xf>
    <xf numFmtId="3" fontId="32" fillId="2" borderId="5" xfId="0" applyNumberFormat="1" applyFont="1" applyFill="1" applyBorder="1" applyAlignment="1">
      <alignment horizontal="left" vertical="center"/>
    </xf>
    <xf numFmtId="165" fontId="32" fillId="2" borderId="5" xfId="0" applyNumberFormat="1" applyFont="1" applyFill="1" applyBorder="1" applyAlignment="1">
      <alignment horizontal="right" vertical="center"/>
    </xf>
    <xf numFmtId="3" fontId="27" fillId="2" borderId="5" xfId="0" applyNumberFormat="1" applyFont="1" applyFill="1" applyBorder="1" applyAlignment="1">
      <alignment horizontal="center" vertical="center"/>
    </xf>
    <xf numFmtId="3" fontId="27" fillId="2" borderId="5" xfId="0" applyNumberFormat="1" applyFont="1" applyFill="1" applyBorder="1" applyAlignment="1">
      <alignment horizontal="left" vertical="center"/>
    </xf>
    <xf numFmtId="165" fontId="27" fillId="2" borderId="5" xfId="0" applyNumberFormat="1" applyFont="1" applyFill="1" applyBorder="1" applyAlignment="1">
      <alignment horizontal="right" vertical="center"/>
    </xf>
    <xf numFmtId="3" fontId="27" fillId="2" borderId="5" xfId="0" applyNumberFormat="1" applyFont="1" applyFill="1" applyBorder="1" applyAlignment="1">
      <alignment horizontal="left" vertical="center" wrapText="1"/>
    </xf>
    <xf numFmtId="165" fontId="37" fillId="2" borderId="5" xfId="0" applyNumberFormat="1" applyFont="1" applyFill="1" applyBorder="1" applyAlignment="1">
      <alignment horizontal="right" vertical="center"/>
    </xf>
    <xf numFmtId="3" fontId="27" fillId="2" borderId="5" xfId="0" applyNumberFormat="1" applyFont="1" applyFill="1" applyBorder="1" applyAlignment="1">
      <alignment vertical="center"/>
    </xf>
    <xf numFmtId="3" fontId="32" fillId="2" borderId="5" xfId="0" applyNumberFormat="1" applyFont="1" applyFill="1" applyBorder="1" applyAlignment="1">
      <alignment vertical="center"/>
    </xf>
    <xf numFmtId="3" fontId="32" fillId="2" borderId="5" xfId="0" applyNumberFormat="1" applyFont="1" applyFill="1" applyBorder="1" applyAlignment="1">
      <alignment horizontal="left" vertical="center" wrapText="1"/>
    </xf>
    <xf numFmtId="3" fontId="27" fillId="2" borderId="5" xfId="0" quotePrefix="1" applyNumberFormat="1" applyFont="1" applyFill="1" applyBorder="1" applyAlignment="1">
      <alignment horizontal="center" vertical="center"/>
    </xf>
    <xf numFmtId="0" fontId="32" fillId="2" borderId="5" xfId="0" applyFont="1" applyFill="1" applyBorder="1" applyAlignment="1">
      <alignment vertical="center"/>
    </xf>
    <xf numFmtId="0" fontId="35" fillId="2" borderId="5" xfId="29" applyFont="1" applyFill="1" applyBorder="1" applyAlignment="1">
      <alignment vertical="center" wrapText="1"/>
    </xf>
    <xf numFmtId="165" fontId="35" fillId="2" borderId="5" xfId="15" applyNumberFormat="1" applyFont="1" applyFill="1" applyBorder="1" applyAlignment="1">
      <alignment horizontal="right" vertical="center" wrapText="1"/>
    </xf>
    <xf numFmtId="165" fontId="35" fillId="2" borderId="5" xfId="15" applyNumberFormat="1" applyFont="1" applyFill="1" applyBorder="1" applyAlignment="1">
      <alignment horizontal="right" vertical="center"/>
    </xf>
    <xf numFmtId="0" fontId="32" fillId="2" borderId="5" xfId="29" applyFont="1" applyFill="1" applyBorder="1" applyAlignment="1">
      <alignment horizontal="center" vertical="center" wrapText="1"/>
    </xf>
    <xf numFmtId="0" fontId="32" fillId="2" borderId="5" xfId="29" applyFont="1" applyFill="1" applyBorder="1" applyAlignment="1">
      <alignment vertical="center" wrapText="1"/>
    </xf>
    <xf numFmtId="165" fontId="32" fillId="2" borderId="5" xfId="15" applyNumberFormat="1" applyFont="1" applyFill="1" applyBorder="1" applyAlignment="1">
      <alignment horizontal="right" vertical="center" wrapText="1"/>
    </xf>
    <xf numFmtId="165" fontId="32" fillId="2" borderId="5" xfId="15" applyNumberFormat="1" applyFont="1" applyFill="1" applyBorder="1" applyAlignment="1">
      <alignment horizontal="right" vertical="center"/>
    </xf>
    <xf numFmtId="0" fontId="27" fillId="2" borderId="5" xfId="29" applyFont="1" applyFill="1" applyBorder="1" applyAlignment="1">
      <alignment horizontal="center" vertical="center" wrapText="1"/>
    </xf>
    <xf numFmtId="0" fontId="27" fillId="2" borderId="5" xfId="29" applyFont="1" applyFill="1" applyBorder="1" applyAlignment="1">
      <alignment vertical="center" wrapText="1"/>
    </xf>
    <xf numFmtId="165" fontId="27" fillId="2" borderId="5" xfId="15" applyNumberFormat="1" applyFont="1" applyFill="1" applyBorder="1" applyAlignment="1">
      <alignment horizontal="right" vertical="center"/>
    </xf>
    <xf numFmtId="165" fontId="19" fillId="2" borderId="0" xfId="0" applyNumberFormat="1" applyFont="1" applyFill="1" applyAlignment="1">
      <alignment horizontal="right" vertical="center"/>
    </xf>
    <xf numFmtId="165" fontId="42" fillId="2" borderId="5" xfId="15" applyNumberFormat="1" applyFont="1" applyFill="1" applyBorder="1" applyAlignment="1">
      <alignment horizontal="right" vertical="center"/>
    </xf>
    <xf numFmtId="0" fontId="24" fillId="2" borderId="5" xfId="29" applyFont="1" applyFill="1" applyBorder="1" applyAlignment="1">
      <alignment horizontal="center" vertical="center" wrapText="1"/>
    </xf>
    <xf numFmtId="0" fontId="24" fillId="2" borderId="5" xfId="29" applyFont="1" applyFill="1" applyBorder="1" applyAlignment="1">
      <alignment vertical="center" wrapText="1"/>
    </xf>
    <xf numFmtId="165" fontId="24" fillId="2" borderId="5" xfId="15" applyNumberFormat="1" applyFont="1" applyFill="1" applyBorder="1" applyAlignment="1">
      <alignment vertical="center"/>
    </xf>
    <xf numFmtId="0" fontId="19" fillId="2" borderId="5" xfId="29" applyFont="1" applyFill="1" applyBorder="1" applyAlignment="1">
      <alignment horizontal="center" vertical="center" wrapText="1"/>
    </xf>
    <xf numFmtId="0" fontId="19" fillId="2" borderId="5" xfId="29" applyFont="1" applyFill="1" applyBorder="1" applyAlignment="1">
      <alignment vertical="center" wrapText="1"/>
    </xf>
    <xf numFmtId="165" fontId="19" fillId="2" borderId="5" xfId="15" applyNumberFormat="1" applyFont="1" applyFill="1" applyBorder="1" applyAlignment="1">
      <alignment vertical="center"/>
    </xf>
    <xf numFmtId="0" fontId="19" fillId="2" borderId="0" xfId="0" applyFont="1" applyFill="1" applyAlignment="1">
      <alignment horizontal="center" vertical="center"/>
    </xf>
    <xf numFmtId="0" fontId="19" fillId="0" borderId="0" xfId="0" applyFont="1" applyFill="1" applyAlignment="1">
      <alignment vertical="center"/>
    </xf>
    <xf numFmtId="0" fontId="24" fillId="0" borderId="0" xfId="0" applyFont="1" applyFill="1" applyAlignment="1">
      <alignment horizontal="center" vertical="center"/>
    </xf>
    <xf numFmtId="3" fontId="24" fillId="0" borderId="0" xfId="0" applyNumberFormat="1" applyFont="1" applyFill="1" applyAlignment="1">
      <alignment horizontal="center" vertical="center"/>
    </xf>
    <xf numFmtId="0" fontId="24" fillId="0" borderId="5" xfId="0" applyFont="1" applyFill="1" applyBorder="1" applyAlignment="1">
      <alignment horizontal="center" vertical="center"/>
    </xf>
    <xf numFmtId="0" fontId="24" fillId="0" borderId="5" xfId="0" applyFont="1" applyFill="1" applyBorder="1" applyAlignment="1">
      <alignment horizontal="center" vertical="center" wrapText="1"/>
    </xf>
    <xf numFmtId="3" fontId="19" fillId="0" borderId="0" xfId="0" applyNumberFormat="1" applyFont="1" applyFill="1" applyAlignment="1">
      <alignment vertical="center"/>
    </xf>
    <xf numFmtId="0" fontId="24" fillId="0" borderId="0" xfId="0" applyFont="1" applyFill="1" applyAlignment="1">
      <alignment vertical="center"/>
    </xf>
    <xf numFmtId="0" fontId="24" fillId="0" borderId="5" xfId="0" applyFont="1" applyFill="1" applyBorder="1" applyAlignment="1">
      <alignment vertical="center" wrapText="1"/>
    </xf>
    <xf numFmtId="0" fontId="19" fillId="0" borderId="5" xfId="0" applyFont="1" applyFill="1" applyBorder="1" applyAlignment="1">
      <alignment horizontal="center" vertical="center"/>
    </xf>
    <xf numFmtId="0" fontId="19" fillId="0" borderId="5" xfId="32"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2" borderId="5" xfId="0" applyFont="1" applyFill="1" applyBorder="1" applyAlignment="1">
      <alignment horizontal="center" vertical="center"/>
    </xf>
    <xf numFmtId="0" fontId="19" fillId="2" borderId="5" xfId="0" applyFont="1" applyFill="1" applyBorder="1" applyAlignment="1">
      <alignment horizontal="left" vertical="center" wrapText="1"/>
    </xf>
    <xf numFmtId="0" fontId="19" fillId="2" borderId="5" xfId="0" applyFont="1" applyFill="1" applyBorder="1" applyAlignment="1">
      <alignment horizontal="center" vertical="center" wrapText="1"/>
    </xf>
    <xf numFmtId="184" fontId="19" fillId="2" borderId="5" xfId="0" applyNumberFormat="1" applyFont="1" applyFill="1" applyBorder="1" applyAlignment="1">
      <alignment horizontal="right" vertical="center" shrinkToFit="1"/>
    </xf>
    <xf numFmtId="0" fontId="19" fillId="2" borderId="5" xfId="0" applyFont="1" applyFill="1" applyBorder="1" applyAlignment="1">
      <alignment horizontal="center" vertical="center" shrinkToFit="1"/>
    </xf>
    <xf numFmtId="3" fontId="19" fillId="2" borderId="0" xfId="0" applyNumberFormat="1" applyFont="1" applyFill="1" applyAlignment="1">
      <alignment vertical="center"/>
    </xf>
    <xf numFmtId="0" fontId="19" fillId="2" borderId="0" xfId="0" applyFont="1" applyFill="1" applyAlignment="1">
      <alignment vertical="center"/>
    </xf>
    <xf numFmtId="0" fontId="22" fillId="2" borderId="5" xfId="32" applyFont="1" applyFill="1" applyBorder="1" applyAlignment="1">
      <alignment horizontal="justify" vertical="center" wrapText="1"/>
    </xf>
    <xf numFmtId="0" fontId="30" fillId="0" borderId="5" xfId="32" applyFont="1" applyFill="1" applyBorder="1" applyAlignment="1">
      <alignment horizontal="justify" vertical="center" wrapText="1"/>
    </xf>
    <xf numFmtId="184" fontId="19" fillId="2" borderId="5" xfId="0" applyNumberFormat="1" applyFont="1" applyFill="1" applyBorder="1" applyAlignment="1">
      <alignment vertical="center" shrinkToFit="1"/>
    </xf>
    <xf numFmtId="0" fontId="22" fillId="2" borderId="5" xfId="0" applyFont="1" applyFill="1" applyBorder="1" applyAlignment="1">
      <alignment horizontal="center" vertical="center" wrapText="1"/>
    </xf>
    <xf numFmtId="184" fontId="22" fillId="2" borderId="5" xfId="32" applyNumberFormat="1" applyFont="1" applyFill="1" applyBorder="1" applyAlignment="1">
      <alignment horizontal="right" vertical="center" shrinkToFit="1"/>
    </xf>
    <xf numFmtId="184" fontId="22" fillId="2" borderId="5" xfId="32" applyNumberFormat="1" applyFont="1" applyFill="1" applyBorder="1" applyAlignment="1">
      <alignment vertical="center" shrinkToFit="1"/>
    </xf>
    <xf numFmtId="3" fontId="19" fillId="2" borderId="5" xfId="0" applyNumberFormat="1" applyFont="1" applyFill="1" applyBorder="1" applyAlignment="1">
      <alignment horizontal="center" vertical="center" shrinkToFit="1"/>
    </xf>
    <xf numFmtId="0" fontId="24" fillId="2" borderId="0" xfId="0" applyFont="1" applyFill="1" applyAlignment="1">
      <alignment vertical="center"/>
    </xf>
    <xf numFmtId="0" fontId="19" fillId="0" borderId="5" xfId="32" applyFont="1" applyFill="1" applyBorder="1" applyAlignment="1">
      <alignment horizontal="justify" vertical="center" wrapText="1"/>
    </xf>
    <xf numFmtId="184" fontId="19" fillId="2" borderId="5" xfId="32" applyNumberFormat="1" applyFont="1" applyFill="1" applyBorder="1" applyAlignment="1">
      <alignment vertical="center" shrinkToFit="1"/>
    </xf>
    <xf numFmtId="0" fontId="24" fillId="0" borderId="0" xfId="0" applyFont="1" applyFill="1"/>
    <xf numFmtId="0" fontId="24" fillId="2" borderId="0" xfId="32" applyFont="1" applyFill="1" applyBorder="1" applyAlignment="1">
      <alignment vertical="center"/>
    </xf>
    <xf numFmtId="0" fontId="46" fillId="2" borderId="11" xfId="32" applyFont="1" applyFill="1" applyBorder="1" applyAlignment="1">
      <alignment horizontal="center" vertical="center"/>
    </xf>
    <xf numFmtId="0" fontId="46" fillId="2" borderId="11" xfId="32" applyFont="1" applyFill="1" applyBorder="1" applyAlignment="1">
      <alignment vertical="center"/>
    </xf>
    <xf numFmtId="0" fontId="46" fillId="2" borderId="0" xfId="32" applyFont="1" applyFill="1" applyAlignment="1">
      <alignment vertical="center"/>
    </xf>
    <xf numFmtId="0" fontId="19" fillId="2" borderId="0" xfId="32" applyFont="1" applyFill="1"/>
    <xf numFmtId="186" fontId="24" fillId="2" borderId="5" xfId="15" applyNumberFormat="1" applyFont="1" applyFill="1" applyBorder="1" applyAlignment="1">
      <alignment vertical="center"/>
    </xf>
    <xf numFmtId="186" fontId="24" fillId="2" borderId="19" xfId="15" applyNumberFormat="1" applyFont="1" applyFill="1" applyBorder="1" applyAlignment="1">
      <alignment vertical="center"/>
    </xf>
    <xf numFmtId="0" fontId="24" fillId="2" borderId="0" xfId="32" applyFont="1" applyFill="1" applyAlignment="1">
      <alignment vertical="center"/>
    </xf>
    <xf numFmtId="0" fontId="22" fillId="2" borderId="5" xfId="32" applyFont="1" applyFill="1" applyBorder="1" applyAlignment="1">
      <alignment horizontal="center" vertical="center" wrapText="1"/>
    </xf>
    <xf numFmtId="0" fontId="19" fillId="2" borderId="19" xfId="0" applyFont="1" applyFill="1" applyBorder="1" applyAlignment="1">
      <alignment vertical="center"/>
    </xf>
    <xf numFmtId="185" fontId="19" fillId="2" borderId="0" xfId="0" applyNumberFormat="1" applyFont="1" applyFill="1" applyAlignment="1">
      <alignment vertical="center"/>
    </xf>
    <xf numFmtId="185" fontId="24" fillId="2" borderId="0" xfId="0" applyNumberFormat="1" applyFont="1" applyFill="1" applyAlignment="1">
      <alignment vertical="center"/>
    </xf>
    <xf numFmtId="177" fontId="19" fillId="2" borderId="0" xfId="0" applyNumberFormat="1" applyFont="1" applyFill="1" applyAlignment="1">
      <alignment vertical="center"/>
    </xf>
    <xf numFmtId="0" fontId="24" fillId="2" borderId="19" xfId="32" applyFont="1" applyFill="1" applyBorder="1" applyAlignment="1">
      <alignment horizontal="center"/>
    </xf>
    <xf numFmtId="0" fontId="24" fillId="2" borderId="0" xfId="32" applyFont="1" applyFill="1" applyAlignment="1"/>
    <xf numFmtId="0" fontId="24" fillId="2" borderId="0" xfId="0" applyFont="1" applyFill="1" applyAlignment="1"/>
    <xf numFmtId="3" fontId="24" fillId="2" borderId="0" xfId="0" applyNumberFormat="1" applyFont="1" applyFill="1" applyAlignment="1"/>
    <xf numFmtId="0" fontId="19" fillId="2" borderId="0" xfId="0" applyFont="1" applyFill="1" applyAlignment="1">
      <alignment horizontal="right" vertical="center"/>
    </xf>
    <xf numFmtId="0" fontId="19" fillId="0" borderId="0" xfId="0" applyFont="1" applyFill="1"/>
    <xf numFmtId="3" fontId="24" fillId="0" borderId="0" xfId="0" applyNumberFormat="1" applyFont="1" applyFill="1" applyAlignment="1">
      <alignment horizontal="center"/>
    </xf>
    <xf numFmtId="0" fontId="30" fillId="0" borderId="0" xfId="0" applyFont="1" applyFill="1"/>
    <xf numFmtId="0" fontId="19" fillId="0" borderId="0" xfId="0" applyFont="1" applyFill="1" applyAlignment="1">
      <alignment horizontal="center"/>
    </xf>
    <xf numFmtId="165" fontId="24" fillId="0" borderId="5" xfId="15" applyNumberFormat="1" applyFont="1" applyFill="1" applyBorder="1" applyAlignment="1">
      <alignment horizontal="center" vertical="center" shrinkToFit="1"/>
    </xf>
    <xf numFmtId="0" fontId="24" fillId="0" borderId="5" xfId="0" applyFont="1" applyFill="1" applyBorder="1" applyAlignment="1">
      <alignment horizontal="left" vertical="center" wrapText="1"/>
    </xf>
    <xf numFmtId="0" fontId="49" fillId="0" borderId="5" xfId="0" applyFont="1" applyBorder="1" applyAlignment="1">
      <alignment vertical="center" wrapText="1"/>
    </xf>
    <xf numFmtId="165" fontId="19" fillId="0" borderId="0" xfId="15" applyNumberFormat="1" applyFont="1" applyFill="1" applyAlignment="1">
      <alignment horizontal="right"/>
    </xf>
    <xf numFmtId="165" fontId="19" fillId="0" borderId="0" xfId="15" applyNumberFormat="1" applyFont="1" applyFill="1"/>
    <xf numFmtId="165" fontId="24" fillId="0" borderId="0" xfId="15" applyNumberFormat="1" applyFont="1" applyFill="1" applyBorder="1" applyAlignment="1">
      <alignment horizontal="right"/>
    </xf>
    <xf numFmtId="165" fontId="24" fillId="0" borderId="0" xfId="15" applyNumberFormat="1" applyFont="1" applyFill="1" applyBorder="1"/>
    <xf numFmtId="165" fontId="30" fillId="0" borderId="5" xfId="15" applyNumberFormat="1" applyFont="1" applyFill="1" applyBorder="1" applyAlignment="1">
      <alignment horizontal="center" vertical="center" wrapText="1" shrinkToFit="1"/>
    </xf>
    <xf numFmtId="165" fontId="24" fillId="0" borderId="5" xfId="15" applyNumberFormat="1" applyFont="1" applyFill="1" applyBorder="1" applyAlignment="1">
      <alignment horizontal="right" vertical="center" shrinkToFit="1"/>
    </xf>
    <xf numFmtId="165" fontId="19" fillId="0" borderId="5" xfId="15" applyNumberFormat="1" applyFont="1" applyFill="1" applyBorder="1" applyAlignment="1">
      <alignment horizontal="right" vertical="center" shrinkToFit="1"/>
    </xf>
    <xf numFmtId="165" fontId="19" fillId="0" borderId="5" xfId="15" applyNumberFormat="1" applyFont="1" applyFill="1" applyBorder="1" applyAlignment="1">
      <alignment vertical="center" shrinkToFit="1"/>
    </xf>
    <xf numFmtId="165" fontId="24" fillId="0" borderId="0" xfId="0" applyNumberFormat="1" applyFont="1" applyFill="1" applyAlignment="1">
      <alignment vertical="center"/>
    </xf>
    <xf numFmtId="0" fontId="24" fillId="2" borderId="0" xfId="32" applyFont="1" applyFill="1" applyBorder="1" applyAlignment="1">
      <alignment horizontal="center" vertical="center"/>
    </xf>
    <xf numFmtId="3" fontId="24" fillId="2" borderId="14" xfId="62" applyNumberFormat="1" applyFont="1" applyFill="1" applyBorder="1" applyAlignment="1">
      <alignment horizontal="center" vertical="center" wrapText="1"/>
    </xf>
    <xf numFmtId="0" fontId="24" fillId="2" borderId="5" xfId="32" applyFont="1" applyFill="1" applyBorder="1" applyAlignment="1">
      <alignment horizontal="center" vertical="center" wrapText="1"/>
    </xf>
    <xf numFmtId="185" fontId="24" fillId="2" borderId="5" xfId="15" applyNumberFormat="1" applyFont="1" applyFill="1" applyBorder="1" applyAlignment="1">
      <alignment vertical="center"/>
    </xf>
    <xf numFmtId="0" fontId="24" fillId="2" borderId="5" xfId="32" applyFont="1" applyFill="1" applyBorder="1" applyAlignment="1">
      <alignment horizontal="left" vertical="center" wrapText="1"/>
    </xf>
    <xf numFmtId="3" fontId="19" fillId="2" borderId="5" xfId="32" applyNumberFormat="1" applyFont="1" applyFill="1" applyBorder="1" applyAlignment="1">
      <alignment horizontal="center" wrapText="1"/>
    </xf>
    <xf numFmtId="3" fontId="19" fillId="2" borderId="5" xfId="32" applyNumberFormat="1" applyFont="1" applyFill="1" applyBorder="1" applyAlignment="1">
      <alignment horizontal="left" wrapText="1"/>
    </xf>
    <xf numFmtId="0" fontId="19" fillId="2" borderId="5" xfId="32" applyFont="1" applyFill="1" applyBorder="1" applyAlignment="1">
      <alignment horizontal="center" vertical="center" wrapText="1"/>
    </xf>
    <xf numFmtId="185" fontId="19" fillId="2" borderId="5" xfId="17" applyNumberFormat="1" applyFont="1" applyFill="1" applyBorder="1" applyAlignment="1">
      <alignment vertical="center"/>
    </xf>
    <xf numFmtId="177" fontId="19" fillId="2" borderId="5" xfId="0" applyNumberFormat="1" applyFont="1" applyFill="1" applyBorder="1" applyAlignment="1">
      <alignment vertical="center"/>
    </xf>
    <xf numFmtId="0" fontId="19" fillId="2" borderId="5" xfId="0" applyFont="1" applyFill="1" applyBorder="1" applyAlignment="1">
      <alignment vertical="center"/>
    </xf>
    <xf numFmtId="185" fontId="19" fillId="2" borderId="5" xfId="0" applyNumberFormat="1" applyFont="1" applyFill="1" applyBorder="1" applyAlignment="1">
      <alignment horizontal="right" vertical="center"/>
    </xf>
    <xf numFmtId="185" fontId="19" fillId="2" borderId="5" xfId="0" applyNumberFormat="1" applyFont="1" applyFill="1" applyBorder="1" applyAlignment="1">
      <alignment vertical="center"/>
    </xf>
    <xf numFmtId="3" fontId="24" fillId="2" borderId="5" xfId="32" applyNumberFormat="1" applyFont="1" applyFill="1" applyBorder="1" applyAlignment="1">
      <alignment horizontal="center" wrapText="1"/>
    </xf>
    <xf numFmtId="3" fontId="24" fillId="2" borderId="5" xfId="32" applyNumberFormat="1" applyFont="1" applyFill="1" applyBorder="1" applyAlignment="1">
      <alignment horizontal="left" wrapText="1"/>
    </xf>
    <xf numFmtId="185" fontId="24" fillId="2" borderId="5" xfId="15" applyNumberFormat="1" applyFont="1" applyFill="1" applyBorder="1" applyAlignment="1"/>
    <xf numFmtId="3" fontId="19" fillId="0" borderId="5" xfId="0" applyNumberFormat="1" applyFont="1" applyBorder="1" applyAlignment="1">
      <alignment vertical="center"/>
    </xf>
    <xf numFmtId="0" fontId="24" fillId="2" borderId="0" xfId="0" applyFont="1" applyFill="1" applyAlignment="1">
      <alignment horizontal="center" vertical="center"/>
    </xf>
    <xf numFmtId="3" fontId="24" fillId="2" borderId="0" xfId="0" applyNumberFormat="1" applyFont="1" applyFill="1" applyAlignment="1">
      <alignment horizontal="center" vertical="center"/>
    </xf>
    <xf numFmtId="164" fontId="24" fillId="2" borderId="0" xfId="15" applyFont="1" applyFill="1" applyBorder="1" applyAlignment="1">
      <alignment horizontal="right" vertical="center"/>
    </xf>
    <xf numFmtId="164" fontId="24" fillId="2" borderId="0" xfId="15" applyFont="1" applyFill="1" applyBorder="1" applyAlignment="1">
      <alignment vertical="center"/>
    </xf>
    <xf numFmtId="0" fontId="30" fillId="2" borderId="0" xfId="0" applyFont="1" applyFill="1" applyAlignment="1">
      <alignment vertical="center"/>
    </xf>
    <xf numFmtId="0" fontId="24" fillId="2" borderId="5" xfId="0" applyFont="1" applyFill="1" applyBorder="1" applyAlignment="1">
      <alignment horizontal="center" vertical="center"/>
    </xf>
    <xf numFmtId="0" fontId="24" fillId="2" borderId="5" xfId="0" applyFont="1" applyFill="1" applyBorder="1" applyAlignment="1">
      <alignment horizontal="center" vertical="center" wrapText="1"/>
    </xf>
    <xf numFmtId="184" fontId="24" fillId="2" borderId="5" xfId="0" applyNumberFormat="1" applyFont="1" applyFill="1" applyBorder="1" applyAlignment="1">
      <alignment horizontal="right" vertical="center" shrinkToFit="1"/>
    </xf>
    <xf numFmtId="0" fontId="24" fillId="2" borderId="5" xfId="0" applyFont="1" applyFill="1" applyBorder="1" applyAlignment="1">
      <alignment horizontal="center" vertical="center" shrinkToFit="1"/>
    </xf>
    <xf numFmtId="0" fontId="24" fillId="2" borderId="5" xfId="0" applyFont="1" applyFill="1" applyBorder="1" applyAlignment="1">
      <alignment vertical="center" wrapText="1"/>
    </xf>
    <xf numFmtId="184" fontId="19" fillId="2" borderId="5" xfId="32" applyNumberFormat="1" applyFont="1" applyFill="1" applyBorder="1" applyAlignment="1">
      <alignment horizontal="right" vertical="center" shrinkToFit="1"/>
    </xf>
    <xf numFmtId="0" fontId="19" fillId="2" borderId="5" xfId="32" applyFont="1" applyFill="1" applyBorder="1" applyAlignment="1">
      <alignment horizontal="left" vertical="center" wrapText="1"/>
    </xf>
    <xf numFmtId="0" fontId="30" fillId="2" borderId="5" xfId="32" applyFont="1" applyFill="1" applyBorder="1" applyAlignment="1">
      <alignment horizontal="justify" vertical="center" wrapText="1"/>
    </xf>
    <xf numFmtId="184" fontId="30" fillId="2" borderId="5" xfId="32" applyNumberFormat="1" applyFont="1" applyFill="1" applyBorder="1" applyAlignment="1">
      <alignment horizontal="right" vertical="center" shrinkToFit="1"/>
    </xf>
    <xf numFmtId="0" fontId="22" fillId="2" borderId="5" xfId="0" applyFont="1" applyFill="1" applyBorder="1" applyAlignment="1">
      <alignment vertical="center" wrapText="1"/>
    </xf>
    <xf numFmtId="184" fontId="24" fillId="2" borderId="5" xfId="32" applyNumberFormat="1" applyFont="1" applyFill="1" applyBorder="1" applyAlignment="1">
      <alignment horizontal="right" vertical="center" shrinkToFit="1"/>
    </xf>
    <xf numFmtId="3" fontId="24" fillId="2" borderId="5" xfId="0" applyNumberFormat="1" applyFont="1" applyFill="1" applyBorder="1" applyAlignment="1">
      <alignment horizontal="center" vertical="center" shrinkToFit="1"/>
    </xf>
    <xf numFmtId="3" fontId="19" fillId="2" borderId="5" xfId="0" applyNumberFormat="1" applyFont="1" applyFill="1" applyBorder="1" applyAlignment="1">
      <alignment horizontal="left" vertical="center" wrapText="1"/>
    </xf>
    <xf numFmtId="3" fontId="19" fillId="2" borderId="5" xfId="0" applyNumberFormat="1" applyFont="1" applyFill="1" applyBorder="1" applyAlignment="1">
      <alignment horizontal="center" vertical="center" wrapText="1"/>
    </xf>
    <xf numFmtId="184" fontId="19" fillId="2" borderId="5" xfId="0" applyNumberFormat="1" applyFont="1" applyFill="1" applyBorder="1" applyAlignment="1">
      <alignment horizontal="center" vertical="center" shrinkToFit="1"/>
    </xf>
    <xf numFmtId="0" fontId="19" fillId="2" borderId="5" xfId="32" applyFont="1" applyFill="1" applyBorder="1" applyAlignment="1">
      <alignment horizontal="justify" vertical="center" wrapText="1"/>
    </xf>
    <xf numFmtId="0" fontId="19" fillId="2" borderId="5" xfId="0" applyFont="1" applyFill="1" applyBorder="1" applyAlignment="1">
      <alignment vertical="center" wrapText="1"/>
    </xf>
    <xf numFmtId="0" fontId="19" fillId="2" borderId="5" xfId="0" applyFont="1" applyFill="1" applyBorder="1" applyAlignment="1">
      <alignment horizontal="justify" vertical="center" wrapText="1"/>
    </xf>
    <xf numFmtId="0" fontId="24" fillId="2" borderId="5" xfId="32" applyFont="1" applyFill="1" applyBorder="1" applyAlignment="1">
      <alignment horizontal="justify" vertical="center" wrapText="1"/>
    </xf>
    <xf numFmtId="0" fontId="24" fillId="2" borderId="5" xfId="0" applyFont="1" applyFill="1" applyBorder="1" applyAlignment="1">
      <alignment vertical="center"/>
    </xf>
    <xf numFmtId="184" fontId="24" fillId="2" borderId="5" xfId="0" applyNumberFormat="1" applyFont="1" applyFill="1" applyBorder="1" applyAlignment="1">
      <alignment horizontal="right" vertical="center"/>
    </xf>
    <xf numFmtId="184" fontId="19" fillId="2" borderId="5" xfId="0" applyNumberFormat="1" applyFont="1" applyFill="1" applyBorder="1" applyAlignment="1">
      <alignment horizontal="right" vertical="center"/>
    </xf>
    <xf numFmtId="184" fontId="19" fillId="2" borderId="5" xfId="0" applyNumberFormat="1" applyFont="1" applyFill="1" applyBorder="1" applyAlignment="1">
      <alignment vertical="center"/>
    </xf>
    <xf numFmtId="165" fontId="19" fillId="0" borderId="0" xfId="15" applyNumberFormat="1" applyFont="1" applyFill="1" applyBorder="1" applyAlignment="1">
      <alignment horizontal="center" vertical="center" wrapText="1"/>
    </xf>
    <xf numFmtId="3" fontId="45" fillId="0" borderId="0" xfId="0" applyNumberFormat="1" applyFont="1" applyFill="1" applyBorder="1" applyAlignment="1">
      <alignment horizontal="left"/>
    </xf>
    <xf numFmtId="164" fontId="19" fillId="2" borderId="0" xfId="15" applyFont="1" applyFill="1" applyBorder="1" applyAlignment="1">
      <alignment vertical="center" wrapText="1"/>
    </xf>
    <xf numFmtId="164" fontId="19" fillId="0" borderId="0" xfId="15" applyFont="1" applyFill="1" applyBorder="1" applyAlignment="1">
      <alignment vertical="center" wrapText="1"/>
    </xf>
    <xf numFmtId="3" fontId="19" fillId="0" borderId="0" xfId="0" applyNumberFormat="1" applyFont="1" applyFill="1" applyBorder="1" applyAlignment="1">
      <alignment horizontal="center"/>
    </xf>
    <xf numFmtId="165" fontId="19" fillId="0" borderId="0" xfId="15" applyNumberFormat="1" applyFont="1" applyFill="1" applyBorder="1" applyAlignment="1">
      <alignment horizontal="center" vertical="center"/>
    </xf>
    <xf numFmtId="164" fontId="19" fillId="0" borderId="0" xfId="15" applyFont="1" applyFill="1" applyBorder="1" applyAlignment="1">
      <alignment horizontal="right" vertical="center"/>
    </xf>
    <xf numFmtId="164" fontId="19" fillId="2" borderId="0" xfId="15" applyFont="1" applyFill="1" applyBorder="1" applyAlignment="1">
      <alignment vertical="center"/>
    </xf>
    <xf numFmtId="164" fontId="19" fillId="0" borderId="0" xfId="15" applyFont="1" applyFill="1" applyBorder="1" applyAlignment="1">
      <alignment vertical="center"/>
    </xf>
    <xf numFmtId="3" fontId="19" fillId="0" borderId="0" xfId="0" applyNumberFormat="1" applyFont="1" applyFill="1" applyBorder="1" applyAlignment="1"/>
    <xf numFmtId="0" fontId="19" fillId="0" borderId="0" xfId="0" applyFont="1" applyFill="1" applyBorder="1" applyAlignment="1"/>
    <xf numFmtId="3" fontId="24" fillId="0" borderId="0" xfId="0" applyNumberFormat="1" applyFont="1" applyFill="1" applyBorder="1" applyAlignment="1"/>
    <xf numFmtId="3" fontId="51" fillId="0" borderId="0" xfId="0" applyNumberFormat="1" applyFont="1" applyFill="1"/>
    <xf numFmtId="3" fontId="52" fillId="0" borderId="0" xfId="0" applyNumberFormat="1" applyFont="1" applyFill="1" applyAlignment="1">
      <alignment horizontal="left"/>
    </xf>
    <xf numFmtId="0" fontId="51" fillId="0" borderId="0" xfId="0" applyFont="1" applyFill="1"/>
    <xf numFmtId="3" fontId="51" fillId="0" borderId="0" xfId="0" applyNumberFormat="1" applyFont="1" applyFill="1" applyAlignment="1">
      <alignment horizontal="center"/>
    </xf>
    <xf numFmtId="0" fontId="31" fillId="0" borderId="0" xfId="0" applyFont="1" applyAlignment="1">
      <alignment horizontal="center" vertical="center"/>
    </xf>
    <xf numFmtId="0" fontId="25" fillId="2" borderId="0" xfId="0" applyFont="1" applyFill="1" applyBorder="1" applyAlignment="1">
      <alignment horizontal="center" vertical="center" wrapText="1"/>
    </xf>
    <xf numFmtId="0" fontId="24" fillId="0" borderId="5" xfId="0" applyFont="1" applyBorder="1" applyAlignment="1">
      <alignment horizontal="center"/>
    </xf>
    <xf numFmtId="0" fontId="19" fillId="2" borderId="0" xfId="0" applyFont="1" applyFill="1" applyAlignment="1">
      <alignment horizontal="center"/>
    </xf>
    <xf numFmtId="3" fontId="25" fillId="2" borderId="0" xfId="0" applyNumberFormat="1" applyFont="1" applyFill="1" applyAlignment="1">
      <alignment horizontal="center" vertical="center"/>
    </xf>
    <xf numFmtId="3" fontId="31" fillId="2" borderId="0" xfId="0" applyNumberFormat="1" applyFont="1" applyFill="1" applyAlignment="1">
      <alignment horizontal="center" vertical="center"/>
    </xf>
    <xf numFmtId="165" fontId="42" fillId="2" borderId="11" xfId="15" applyNumberFormat="1" applyFont="1" applyFill="1" applyBorder="1" applyAlignment="1">
      <alignment horizontal="center" vertical="center"/>
    </xf>
    <xf numFmtId="3" fontId="19" fillId="0" borderId="0" xfId="0" applyNumberFormat="1" applyFont="1" applyFill="1" applyBorder="1" applyAlignment="1">
      <alignment horizontal="left" wrapText="1"/>
    </xf>
    <xf numFmtId="165" fontId="25" fillId="2" borderId="11" xfId="15" applyNumberFormat="1" applyFont="1" applyFill="1" applyBorder="1" applyAlignment="1">
      <alignment horizontal="center" vertical="center"/>
    </xf>
    <xf numFmtId="164" fontId="31" fillId="2" borderId="0" xfId="17" applyFont="1" applyFill="1" applyAlignment="1">
      <alignment horizontal="center" vertical="center" wrapText="1"/>
    </xf>
    <xf numFmtId="164" fontId="25" fillId="2" borderId="0" xfId="17" applyFont="1" applyFill="1" applyAlignment="1">
      <alignment horizontal="center" vertical="center" wrapText="1"/>
    </xf>
    <xf numFmtId="165" fontId="19" fillId="2" borderId="0" xfId="15" applyNumberFormat="1" applyFont="1" applyFill="1" applyAlignment="1">
      <alignment horizontal="center" vertical="center"/>
    </xf>
    <xf numFmtId="0" fontId="30" fillId="2" borderId="5" xfId="0" applyFont="1" applyFill="1" applyBorder="1" applyAlignment="1">
      <alignment horizontal="center" vertical="center" wrapText="1" shrinkToFit="1"/>
    </xf>
    <xf numFmtId="165" fontId="19" fillId="2" borderId="0" xfId="15" applyNumberFormat="1" applyFont="1" applyFill="1" applyAlignment="1">
      <alignment horizontal="right" vertical="center"/>
    </xf>
    <xf numFmtId="0" fontId="50" fillId="2" borderId="0" xfId="0" applyFont="1" applyFill="1" applyAlignment="1">
      <alignment horizontal="center" vertical="center" wrapText="1"/>
    </xf>
    <xf numFmtId="0" fontId="50" fillId="2" borderId="0" xfId="0" applyFont="1" applyFill="1" applyAlignment="1">
      <alignment horizontal="center" vertical="center"/>
    </xf>
    <xf numFmtId="0" fontId="25" fillId="2" borderId="0" xfId="0" applyFont="1" applyFill="1" applyAlignment="1">
      <alignment horizontal="center" vertical="center"/>
    </xf>
    <xf numFmtId="0" fontId="25" fillId="2" borderId="11" xfId="0" applyFont="1" applyFill="1" applyBorder="1" applyAlignment="1">
      <alignment horizontal="right" vertical="center"/>
    </xf>
    <xf numFmtId="0" fontId="30" fillId="2" borderId="5"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12" xfId="0" applyFont="1" applyFill="1" applyBorder="1" applyAlignment="1">
      <alignment horizontal="center" vertical="center" wrapText="1" shrinkToFit="1"/>
    </xf>
    <xf numFmtId="0" fontId="30" fillId="2" borderId="14" xfId="0" applyFont="1" applyFill="1" applyBorder="1" applyAlignment="1">
      <alignment horizontal="center" vertical="center" wrapText="1" shrinkToFit="1"/>
    </xf>
    <xf numFmtId="3" fontId="24" fillId="2" borderId="12" xfId="62" applyNumberFormat="1" applyFont="1" applyFill="1" applyBorder="1" applyAlignment="1">
      <alignment horizontal="center" vertical="center" wrapText="1"/>
    </xf>
    <xf numFmtId="3" fontId="24" fillId="2" borderId="14" xfId="62" applyNumberFormat="1" applyFont="1" applyFill="1" applyBorder="1" applyAlignment="1">
      <alignment horizontal="center" vertical="center" wrapText="1"/>
    </xf>
    <xf numFmtId="0" fontId="24" fillId="2" borderId="12" xfId="32" applyFont="1" applyFill="1" applyBorder="1" applyAlignment="1">
      <alignment horizontal="center" vertical="center" wrapText="1"/>
    </xf>
    <xf numFmtId="0" fontId="24" fillId="2" borderId="14" xfId="32" applyFont="1" applyFill="1" applyBorder="1" applyAlignment="1">
      <alignment horizontal="center" vertical="center" wrapText="1"/>
    </xf>
    <xf numFmtId="3" fontId="24" fillId="2" borderId="13" xfId="62" applyNumberFormat="1" applyFont="1" applyFill="1" applyBorder="1" applyAlignment="1">
      <alignment horizontal="center" vertical="center" wrapText="1"/>
    </xf>
    <xf numFmtId="3" fontId="24" fillId="2" borderId="20" xfId="62" applyNumberFormat="1" applyFont="1" applyFill="1" applyBorder="1" applyAlignment="1">
      <alignment horizontal="center" vertical="center" wrapText="1"/>
    </xf>
    <xf numFmtId="3" fontId="24" fillId="2" borderId="16" xfId="62" applyNumberFormat="1" applyFont="1" applyFill="1" applyBorder="1" applyAlignment="1">
      <alignment horizontal="center" vertical="center" wrapText="1"/>
    </xf>
    <xf numFmtId="3" fontId="24" fillId="2" borderId="15" xfId="62" applyNumberFormat="1" applyFont="1" applyFill="1" applyBorder="1" applyAlignment="1">
      <alignment horizontal="center" vertical="center" wrapText="1"/>
    </xf>
    <xf numFmtId="3" fontId="24" fillId="2" borderId="11" xfId="62" applyNumberFormat="1" applyFont="1" applyFill="1" applyBorder="1" applyAlignment="1">
      <alignment horizontal="center" vertical="center" wrapText="1"/>
    </xf>
    <xf numFmtId="3" fontId="24" fillId="2" borderId="18" xfId="62" applyNumberFormat="1" applyFont="1" applyFill="1" applyBorder="1" applyAlignment="1">
      <alignment horizontal="center" vertical="center" wrapText="1"/>
    </xf>
    <xf numFmtId="0" fontId="50" fillId="2" borderId="0" xfId="32" applyFont="1" applyFill="1" applyBorder="1" applyAlignment="1">
      <alignment horizontal="center" vertical="center" wrapText="1"/>
    </xf>
    <xf numFmtId="0" fontId="50" fillId="2" borderId="0" xfId="32" applyFont="1" applyFill="1" applyBorder="1" applyAlignment="1">
      <alignment horizontal="center" vertical="center"/>
    </xf>
    <xf numFmtId="0" fontId="25" fillId="2" borderId="0" xfId="32" applyFont="1" applyFill="1" applyBorder="1" applyAlignment="1">
      <alignment horizontal="center" vertical="center"/>
    </xf>
    <xf numFmtId="0" fontId="25" fillId="2" borderId="11" xfId="32" applyFont="1" applyFill="1" applyBorder="1" applyAlignment="1">
      <alignment horizontal="right" vertical="center"/>
    </xf>
    <xf numFmtId="0" fontId="24" fillId="2" borderId="5" xfId="0" applyFont="1" applyFill="1" applyBorder="1" applyAlignment="1">
      <alignment horizontal="center" vertical="center" wrapText="1"/>
    </xf>
    <xf numFmtId="49" fontId="24" fillId="2" borderId="12" xfId="62" applyNumberFormat="1" applyFont="1" applyFill="1" applyBorder="1" applyAlignment="1">
      <alignment horizontal="center" vertical="center" wrapText="1"/>
    </xf>
    <xf numFmtId="49" fontId="24" fillId="2" borderId="14" xfId="62" applyNumberFormat="1" applyFont="1" applyFill="1" applyBorder="1" applyAlignment="1">
      <alignment horizontal="center" vertical="center" wrapText="1"/>
    </xf>
    <xf numFmtId="0" fontId="30" fillId="0" borderId="5" xfId="0" applyFont="1" applyFill="1" applyBorder="1" applyAlignment="1">
      <alignment horizontal="center" vertical="center" wrapText="1" shrinkToFit="1"/>
    </xf>
    <xf numFmtId="165" fontId="30" fillId="0" borderId="5" xfId="15" applyNumberFormat="1" applyFont="1" applyFill="1" applyBorder="1" applyAlignment="1">
      <alignment horizontal="center" vertical="center" wrapText="1" shrinkToFit="1"/>
    </xf>
    <xf numFmtId="0" fontId="50" fillId="0" borderId="0" xfId="0" applyFont="1" applyFill="1" applyAlignment="1">
      <alignment horizontal="center" vertical="center" wrapText="1"/>
    </xf>
    <xf numFmtId="0" fontId="50" fillId="0" borderId="0" xfId="0" applyFont="1" applyFill="1" applyAlignment="1">
      <alignment horizontal="center" vertical="center"/>
    </xf>
    <xf numFmtId="0" fontId="25" fillId="0" borderId="0" xfId="0" applyFont="1" applyFill="1" applyAlignment="1">
      <alignment horizontal="center" vertical="center"/>
    </xf>
    <xf numFmtId="0" fontId="25" fillId="0" borderId="11" xfId="0" applyFont="1" applyFill="1" applyBorder="1" applyAlignment="1">
      <alignment horizontal="right" vertical="center"/>
    </xf>
    <xf numFmtId="0" fontId="30" fillId="0" borderId="5"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0" fillId="0" borderId="14" xfId="0" applyFont="1" applyFill="1" applyBorder="1" applyAlignment="1">
      <alignment horizontal="center" vertical="center" wrapText="1"/>
    </xf>
    <xf numFmtId="165" fontId="30" fillId="0" borderId="12" xfId="15" applyNumberFormat="1" applyFont="1" applyFill="1" applyBorder="1" applyAlignment="1">
      <alignment horizontal="center" vertical="center" wrapText="1" shrinkToFit="1"/>
    </xf>
    <xf numFmtId="165" fontId="30" fillId="0" borderId="17" xfId="15" applyNumberFormat="1" applyFont="1" applyFill="1" applyBorder="1" applyAlignment="1">
      <alignment horizontal="center" vertical="center" wrapText="1" shrinkToFit="1"/>
    </xf>
    <xf numFmtId="165" fontId="30" fillId="0" borderId="14" xfId="15" applyNumberFormat="1" applyFont="1" applyFill="1" applyBorder="1" applyAlignment="1">
      <alignment horizontal="center" vertical="center" wrapText="1" shrinkToFit="1"/>
    </xf>
  </cellXfs>
  <cellStyles count="63">
    <cellStyle name="_x000d__x000a_JournalTemplate=C:\COMFO\CTALK\JOURSTD.TPL_x000d__x000a_LbStateAddress=3 3 0 251 1 89 2 311_x000d__x000a_LbStateJou" xfId="61" xr:uid="{00000000-0005-0000-0000-000000000000}"/>
    <cellStyle name="??" xfId="1" xr:uid="{00000000-0005-0000-0000-000001000000}"/>
    <cellStyle name="?? [0.00]_PRODUCT DETAIL Q1" xfId="2" xr:uid="{00000000-0005-0000-0000-000002000000}"/>
    <cellStyle name="?? [0]" xfId="3" xr:uid="{00000000-0005-0000-0000-000003000000}"/>
    <cellStyle name="???? [0.00]_PRODUCT DETAIL Q1" xfId="4" xr:uid="{00000000-0005-0000-0000-000004000000}"/>
    <cellStyle name="????_PRODUCT DETAIL Q1" xfId="5" xr:uid="{00000000-0005-0000-0000-000005000000}"/>
    <cellStyle name="???_HOBONG" xfId="6" xr:uid="{00000000-0005-0000-0000-000006000000}"/>
    <cellStyle name="??_(????)??????" xfId="7" xr:uid="{00000000-0005-0000-0000-000007000000}"/>
    <cellStyle name="??_kc-elec system check list" xfId="8" xr:uid="{00000000-0005-0000-0000-000008000000}"/>
    <cellStyle name="AeE­ [0]_INQUIRY ¿μ¾÷AßAø " xfId="9" xr:uid="{00000000-0005-0000-0000-000009000000}"/>
    <cellStyle name="AeE­_INQUIRY ¿µ¾÷AßAø " xfId="10" xr:uid="{00000000-0005-0000-0000-00000A000000}"/>
    <cellStyle name="AÞ¸¶ [0]_INQUIRY ¿?¾÷AßAø " xfId="11" xr:uid="{00000000-0005-0000-0000-00000B000000}"/>
    <cellStyle name="AÞ¸¶_INQUIRY ¿?¾÷AßAø " xfId="12" xr:uid="{00000000-0005-0000-0000-00000C000000}"/>
    <cellStyle name="C?AØ_¿?¾÷CoE² " xfId="13" xr:uid="{00000000-0005-0000-0000-00000D000000}"/>
    <cellStyle name="C￥AØ_¿μ¾÷CoE² " xfId="14" xr:uid="{00000000-0005-0000-0000-00000E000000}"/>
    <cellStyle name="Comma" xfId="15" builtinId="3"/>
    <cellStyle name="Comma 3" xfId="16" xr:uid="{00000000-0005-0000-0000-000010000000}"/>
    <cellStyle name="Comma 3 2" xfId="60" xr:uid="{00000000-0005-0000-0000-000011000000}"/>
    <cellStyle name="Comma 4" xfId="17" xr:uid="{00000000-0005-0000-0000-000012000000}"/>
    <cellStyle name="Comma0" xfId="18" xr:uid="{00000000-0005-0000-0000-000013000000}"/>
    <cellStyle name="Currency0" xfId="19" xr:uid="{00000000-0005-0000-0000-000014000000}"/>
    <cellStyle name="Date" xfId="20" xr:uid="{00000000-0005-0000-0000-000015000000}"/>
    <cellStyle name="Fixed" xfId="21" xr:uid="{00000000-0005-0000-0000-000016000000}"/>
    <cellStyle name="Header1" xfId="22" xr:uid="{00000000-0005-0000-0000-000017000000}"/>
    <cellStyle name="Header2" xfId="23" xr:uid="{00000000-0005-0000-0000-000018000000}"/>
    <cellStyle name="Heading 1" xfId="24" builtinId="16" customBuiltin="1"/>
    <cellStyle name="Heading 2" xfId="25" builtinId="17" customBuiltin="1"/>
    <cellStyle name="Ledger 17 x 11 in 2" xfId="26" xr:uid="{00000000-0005-0000-0000-00001B000000}"/>
    <cellStyle name="n" xfId="27" xr:uid="{00000000-0005-0000-0000-00001C000000}"/>
    <cellStyle name="Normal" xfId="0" builtinId="0"/>
    <cellStyle name="Normal - Style1" xfId="28" xr:uid="{00000000-0005-0000-0000-00001E000000}"/>
    <cellStyle name="Normal 11" xfId="29" xr:uid="{00000000-0005-0000-0000-00001F000000}"/>
    <cellStyle name="Normal 2 2" xfId="30" xr:uid="{00000000-0005-0000-0000-000020000000}"/>
    <cellStyle name="Normal 22" xfId="31" xr:uid="{00000000-0005-0000-0000-000021000000}"/>
    <cellStyle name="Normal 3" xfId="32" xr:uid="{00000000-0005-0000-0000-000022000000}"/>
    <cellStyle name="Normal 5 3" xfId="33" xr:uid="{00000000-0005-0000-0000-000023000000}"/>
    <cellStyle name="Normal 89" xfId="34" xr:uid="{00000000-0005-0000-0000-000024000000}"/>
    <cellStyle name="Normal_Bieu mau (CV )" xfId="62" xr:uid="{00000000-0005-0000-0000-000025000000}"/>
    <cellStyle name="T" xfId="35" xr:uid="{00000000-0005-0000-0000-000026000000}"/>
    <cellStyle name="Total" xfId="36" builtinId="25" customBuiltin="1"/>
    <cellStyle name="th" xfId="37" xr:uid="{00000000-0005-0000-0000-000027000000}"/>
    <cellStyle name="viet" xfId="38" xr:uid="{00000000-0005-0000-0000-000029000000}"/>
    <cellStyle name="viet2" xfId="39" xr:uid="{00000000-0005-0000-0000-00002A000000}"/>
    <cellStyle name=" [0.00]_ Att. 1- Cover" xfId="40" xr:uid="{00000000-0005-0000-0000-00002B000000}"/>
    <cellStyle name="_ Att. 1- Cover" xfId="41" xr:uid="{00000000-0005-0000-0000-00002C000000}"/>
    <cellStyle name="?_ Att. 1- Cover" xfId="42" xr:uid="{00000000-0005-0000-0000-00002D000000}"/>
    <cellStyle name="똿뗦먛귟 [0.00]_PRODUCT DETAIL Q1" xfId="43" xr:uid="{00000000-0005-0000-0000-00002E000000}"/>
    <cellStyle name="똿뗦먛귟_PRODUCT DETAIL Q1" xfId="44" xr:uid="{00000000-0005-0000-0000-00002F000000}"/>
    <cellStyle name="믅됞 [0.00]_PRODUCT DETAIL Q1" xfId="45" xr:uid="{00000000-0005-0000-0000-000030000000}"/>
    <cellStyle name="믅됞_PRODUCT DETAIL Q1" xfId="46" xr:uid="{00000000-0005-0000-0000-000031000000}"/>
    <cellStyle name="백분율_95" xfId="47" xr:uid="{00000000-0005-0000-0000-000032000000}"/>
    <cellStyle name="뷭?_BOOKSHIP" xfId="48" xr:uid="{00000000-0005-0000-0000-000033000000}"/>
    <cellStyle name="콤마 [0]_1202" xfId="49" xr:uid="{00000000-0005-0000-0000-000034000000}"/>
    <cellStyle name="콤마_1202" xfId="50" xr:uid="{00000000-0005-0000-0000-000035000000}"/>
    <cellStyle name="통화 [0]_1202" xfId="51" xr:uid="{00000000-0005-0000-0000-000036000000}"/>
    <cellStyle name="통화_1202" xfId="52" xr:uid="{00000000-0005-0000-0000-000037000000}"/>
    <cellStyle name="표준_(정보부문)월별인원계획" xfId="53" xr:uid="{00000000-0005-0000-0000-000038000000}"/>
    <cellStyle name="一般_00Q3902REV.1" xfId="54" xr:uid="{00000000-0005-0000-0000-000039000000}"/>
    <cellStyle name="千分位[0]_00Q3902REV.1" xfId="55" xr:uid="{00000000-0005-0000-0000-00003A000000}"/>
    <cellStyle name="千分位_00Q3902REV.1" xfId="56" xr:uid="{00000000-0005-0000-0000-00003B000000}"/>
    <cellStyle name="貨幣 [0]_00Q3902REV.1" xfId="57" xr:uid="{00000000-0005-0000-0000-00003C000000}"/>
    <cellStyle name="貨幣[0]_BRE" xfId="58" xr:uid="{00000000-0005-0000-0000-00003D000000}"/>
    <cellStyle name="貨幣_00Q3902REV.1" xfId="59" xr:uid="{00000000-0005-0000-0000-00003E00000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2\2022%20CH&#205;NH%20QUY&#7872;N\X&#226;y%20d&#7921;ng%20DT%202023\DU%20TOAN%202023\Qu&#7929;%20l&#432;&#417;ng%20+%20Chi%20th&#432;&#7901;ng%20xuy&#234;n\BC%20Thu%20chi%202022\PBDT-2023%20(12_12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4Test5"/>
      <sheetName val="Thu 2023"/>
      <sheetName val="Chi 2023"/>
      <sheetName val="Xã, TT 2023"/>
      <sheetName val="Quỹ lương 2023"/>
      <sheetName val="Ngoài ĐM 2023"/>
    </sheetNames>
    <sheetDataSet>
      <sheetData sheetId="0"/>
      <sheetData sheetId="1">
        <row r="3">
          <cell r="A3" t="str">
            <v>(Kèm theo Báo cáo số            /BC-UBND ngày       tháng 12 năm 2022 của UBND huyện Tuần Giáo)</v>
          </cell>
        </row>
        <row r="26">
          <cell r="F26">
            <v>10800</v>
          </cell>
          <cell r="G26">
            <v>2700</v>
          </cell>
        </row>
      </sheetData>
      <sheetData sheetId="2"/>
      <sheetData sheetId="3">
        <row r="24">
          <cell r="C24">
            <v>4228</v>
          </cell>
        </row>
        <row r="41">
          <cell r="C41">
            <v>1619</v>
          </cell>
        </row>
        <row r="42">
          <cell r="C42">
            <v>1859</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showFormulas="1" workbookViewId="0"/>
  </sheetViews>
  <sheetFormatPr defaultColWidth="9.140625" defaultRowHeight="12.75"/>
  <cols>
    <col min="1" max="1" width="29.85546875" style="1" customWidth="1"/>
    <col min="2" max="2" width="1.28515625" style="1" customWidth="1"/>
    <col min="3" max="3" width="32.140625" style="1" customWidth="1"/>
    <col min="4" max="16384" width="9.140625" style="1"/>
  </cols>
  <sheetData>
    <row r="1" spans="1:3" ht="13.5" thickBot="1"/>
    <row r="2" spans="1:3" ht="13.5" thickBot="1">
      <c r="A2" s="2" t="s">
        <v>5</v>
      </c>
      <c r="C2" s="2" t="s">
        <v>6</v>
      </c>
    </row>
    <row r="3" spans="1:3">
      <c r="A3" s="3" t="s">
        <v>7</v>
      </c>
    </row>
    <row r="4" spans="1:3">
      <c r="A4" s="4" t="s">
        <v>8</v>
      </c>
    </row>
    <row r="5" spans="1:3">
      <c r="A5" s="5" t="s">
        <v>9</v>
      </c>
    </row>
    <row r="6" spans="1:3" ht="13.5" thickBot="1">
      <c r="A6" s="6">
        <v>3</v>
      </c>
    </row>
    <row r="8" spans="1:3" ht="13.5" thickBot="1"/>
    <row r="9" spans="1:3" ht="13.5" thickBot="1">
      <c r="A9" s="2" t="s">
        <v>10</v>
      </c>
    </row>
    <row r="10" spans="1:3" ht="13.5" thickBot="1">
      <c r="C10" s="2" t="s">
        <v>11</v>
      </c>
    </row>
    <row r="20" spans="3:3" ht="13.5" thickBot="1"/>
    <row r="21" spans="3:3" ht="13.5" thickBot="1"/>
    <row r="22" spans="3:3" ht="13.5" thickBot="1">
      <c r="C22" s="2" t="s">
        <v>12</v>
      </c>
    </row>
    <row r="30" spans="3:3" ht="13.5" thickBot="1"/>
    <row r="32" spans="3:3" ht="13.5" thickBot="1"/>
    <row r="35" ht="13.5" thickBot="1"/>
  </sheetData>
  <sheetProtection password="CFB0" sheet="1" objects="1"/>
  <phoneticPr fontId="20" type="noConversion"/>
  <pageMargins left="0.75" right="0.75" top="0.41" bottom="0.5" header="0.22" footer="0.2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J43"/>
  <sheetViews>
    <sheetView view="pageBreakPreview" zoomScale="85" zoomScaleNormal="100" zoomScaleSheetLayoutView="85" workbookViewId="0">
      <selection activeCell="M8" sqref="M8"/>
    </sheetView>
  </sheetViews>
  <sheetFormatPr defaultRowHeight="18.75"/>
  <cols>
    <col min="1" max="1" width="9.5703125" style="9" customWidth="1"/>
    <col min="2" max="2" width="60.85546875" style="7" customWidth="1"/>
    <col min="3" max="3" width="23.5703125" style="40" customWidth="1"/>
    <col min="4" max="4" width="10.28515625" style="7" customWidth="1"/>
    <col min="5" max="5" width="10.28515625" style="7" hidden="1" customWidth="1"/>
    <col min="6" max="6" width="10.5703125" style="9" hidden="1" customWidth="1"/>
    <col min="7" max="9" width="9.140625" style="9" hidden="1" customWidth="1"/>
    <col min="10" max="16384" width="9.140625" style="7"/>
  </cols>
  <sheetData>
    <row r="1" spans="1:10">
      <c r="A1" s="105"/>
      <c r="B1" s="106"/>
      <c r="C1" s="107" t="s">
        <v>215</v>
      </c>
    </row>
    <row r="2" spans="1:10" ht="27" customHeight="1">
      <c r="A2" s="279" t="s">
        <v>222</v>
      </c>
      <c r="B2" s="279"/>
      <c r="C2" s="279"/>
    </row>
    <row r="3" spans="1:10" s="25" customFormat="1" ht="19.5" customHeight="1">
      <c r="A3" s="280" t="s">
        <v>452</v>
      </c>
      <c r="B3" s="280"/>
      <c r="C3" s="280"/>
      <c r="D3" s="29"/>
      <c r="E3" s="29"/>
      <c r="F3" s="29"/>
      <c r="G3" s="29"/>
      <c r="H3" s="29"/>
      <c r="I3" s="29"/>
      <c r="J3" s="30"/>
    </row>
    <row r="4" spans="1:10" ht="25.5" customHeight="1">
      <c r="A4" s="105"/>
      <c r="B4" s="106"/>
      <c r="C4" s="108" t="s">
        <v>101</v>
      </c>
    </row>
    <row r="5" spans="1:10" s="8" customFormat="1" ht="22.5" customHeight="1">
      <c r="A5" s="20" t="s">
        <v>0</v>
      </c>
      <c r="B5" s="12" t="s">
        <v>96</v>
      </c>
      <c r="C5" s="31" t="s">
        <v>112</v>
      </c>
      <c r="F5" s="27"/>
      <c r="G5" s="27"/>
      <c r="H5" s="27"/>
      <c r="I5" s="27"/>
    </row>
    <row r="6" spans="1:10" s="27" customFormat="1" ht="16.5" customHeight="1">
      <c r="A6" s="21">
        <v>1</v>
      </c>
      <c r="B6" s="22">
        <v>2</v>
      </c>
      <c r="C6" s="32">
        <v>3</v>
      </c>
    </row>
    <row r="7" spans="1:10" s="10" customFormat="1" ht="19.5" customHeight="1">
      <c r="A7" s="109" t="s">
        <v>1</v>
      </c>
      <c r="B7" s="110" t="s">
        <v>102</v>
      </c>
      <c r="C7" s="111">
        <f>C8+C10+C14+C15+C16+C17+C22+C26+C27+C28+C31</f>
        <v>54000</v>
      </c>
      <c r="F7" s="15"/>
      <c r="G7" s="15"/>
      <c r="H7" s="15"/>
      <c r="I7" s="15"/>
    </row>
    <row r="8" spans="1:10" s="10" customFormat="1" ht="19.5" customHeight="1">
      <c r="A8" s="109">
        <v>1</v>
      </c>
      <c r="B8" s="110" t="s">
        <v>223</v>
      </c>
      <c r="C8" s="111">
        <f>C9</f>
        <v>1000</v>
      </c>
      <c r="F8" s="15"/>
      <c r="G8" s="15"/>
      <c r="H8" s="15"/>
      <c r="I8" s="15"/>
    </row>
    <row r="9" spans="1:10" s="10" customFormat="1" ht="19.5" customHeight="1">
      <c r="A9" s="109"/>
      <c r="B9" s="112" t="s">
        <v>17</v>
      </c>
      <c r="C9" s="111">
        <v>1000</v>
      </c>
      <c r="F9" s="15"/>
      <c r="G9" s="15"/>
      <c r="H9" s="15"/>
      <c r="I9" s="15"/>
    </row>
    <row r="10" spans="1:10" s="10" customFormat="1" ht="19.5" customHeight="1">
      <c r="A10" s="109">
        <v>2</v>
      </c>
      <c r="B10" s="113" t="s">
        <v>103</v>
      </c>
      <c r="C10" s="111">
        <f>SUM(C11:C13)</f>
        <v>21300</v>
      </c>
      <c r="F10" s="15"/>
      <c r="G10" s="15"/>
      <c r="H10" s="15"/>
      <c r="I10" s="15"/>
    </row>
    <row r="11" spans="1:10" s="8" customFormat="1" ht="19.5" customHeight="1">
      <c r="A11" s="21"/>
      <c r="B11" s="112" t="s">
        <v>15</v>
      </c>
      <c r="C11" s="114">
        <v>8000</v>
      </c>
      <c r="F11" s="27"/>
      <c r="G11" s="27"/>
      <c r="H11" s="27"/>
      <c r="I11" s="27"/>
    </row>
    <row r="12" spans="1:10" s="8" customFormat="1" ht="19.5" customHeight="1">
      <c r="A12" s="21"/>
      <c r="B12" s="112" t="s">
        <v>16</v>
      </c>
      <c r="C12" s="114">
        <v>1200</v>
      </c>
      <c r="F12" s="27"/>
      <c r="G12" s="27"/>
      <c r="H12" s="27"/>
      <c r="I12" s="27"/>
    </row>
    <row r="13" spans="1:10" s="8" customFormat="1" ht="19.5" customHeight="1">
      <c r="A13" s="21"/>
      <c r="B13" s="112" t="s">
        <v>17</v>
      </c>
      <c r="C13" s="114">
        <v>12100</v>
      </c>
      <c r="F13" s="27"/>
      <c r="G13" s="27"/>
      <c r="H13" s="27"/>
      <c r="I13" s="27"/>
    </row>
    <row r="14" spans="1:10" s="10" customFormat="1" ht="19.5" customHeight="1">
      <c r="A14" s="109">
        <v>3</v>
      </c>
      <c r="B14" s="113" t="s">
        <v>18</v>
      </c>
      <c r="C14" s="111">
        <v>5200</v>
      </c>
      <c r="F14" s="15"/>
      <c r="G14" s="15"/>
      <c r="H14" s="15"/>
      <c r="I14" s="15"/>
    </row>
    <row r="15" spans="1:10" s="10" customFormat="1" ht="19.5" customHeight="1">
      <c r="A15" s="109">
        <v>4</v>
      </c>
      <c r="B15" s="113" t="s">
        <v>104</v>
      </c>
      <c r="C15" s="111">
        <v>80</v>
      </c>
      <c r="F15" s="15"/>
      <c r="G15" s="15"/>
      <c r="H15" s="15"/>
      <c r="I15" s="15"/>
    </row>
    <row r="16" spans="1:10" s="10" customFormat="1" ht="19.5" customHeight="1">
      <c r="A16" s="109">
        <v>5</v>
      </c>
      <c r="B16" s="113" t="s">
        <v>19</v>
      </c>
      <c r="C16" s="111">
        <v>2220</v>
      </c>
      <c r="F16" s="15"/>
      <c r="G16" s="15"/>
      <c r="H16" s="15"/>
      <c r="I16" s="15"/>
    </row>
    <row r="17" spans="1:9" s="10" customFormat="1" ht="19.5" customHeight="1">
      <c r="A17" s="109">
        <v>6</v>
      </c>
      <c r="B17" s="113" t="s">
        <v>136</v>
      </c>
      <c r="C17" s="111">
        <f>C18+C21</f>
        <v>2700</v>
      </c>
      <c r="F17" s="15"/>
      <c r="G17" s="15"/>
      <c r="H17" s="15"/>
      <c r="I17" s="15"/>
    </row>
    <row r="18" spans="1:9" s="8" customFormat="1" ht="19.5" customHeight="1">
      <c r="A18" s="21"/>
      <c r="B18" s="112" t="s">
        <v>137</v>
      </c>
      <c r="C18" s="114">
        <v>2600</v>
      </c>
      <c r="F18" s="27"/>
      <c r="G18" s="27"/>
      <c r="H18" s="27"/>
      <c r="I18" s="27"/>
    </row>
    <row r="19" spans="1:9" s="8" customFormat="1" ht="19.5" customHeight="1">
      <c r="A19" s="21"/>
      <c r="B19" s="112" t="s">
        <v>224</v>
      </c>
      <c r="C19" s="114">
        <f>C18*70%</f>
        <v>1819.9999999999998</v>
      </c>
      <c r="F19" s="27"/>
      <c r="G19" s="27"/>
      <c r="H19" s="27"/>
      <c r="I19" s="27"/>
    </row>
    <row r="20" spans="1:9" s="8" customFormat="1" ht="19.5" customHeight="1">
      <c r="A20" s="21"/>
      <c r="B20" s="112" t="s">
        <v>225</v>
      </c>
      <c r="C20" s="114">
        <f>C18*30%</f>
        <v>780</v>
      </c>
      <c r="F20" s="27"/>
      <c r="G20" s="27"/>
      <c r="H20" s="27"/>
      <c r="I20" s="27"/>
    </row>
    <row r="21" spans="1:9" s="8" customFormat="1" ht="19.5" customHeight="1">
      <c r="A21" s="21"/>
      <c r="B21" s="112" t="s">
        <v>138</v>
      </c>
      <c r="C21" s="114">
        <v>100</v>
      </c>
      <c r="F21" s="27"/>
      <c r="G21" s="27"/>
      <c r="H21" s="27"/>
      <c r="I21" s="27"/>
    </row>
    <row r="22" spans="1:9" s="10" customFormat="1" ht="19.5" customHeight="1">
      <c r="A22" s="109">
        <v>7</v>
      </c>
      <c r="B22" s="113" t="s">
        <v>22</v>
      </c>
      <c r="C22" s="111">
        <v>1300</v>
      </c>
      <c r="E22" s="13"/>
      <c r="F22" s="281" t="s">
        <v>127</v>
      </c>
      <c r="G22" s="281"/>
      <c r="H22" s="281" t="s">
        <v>128</v>
      </c>
      <c r="I22" s="281"/>
    </row>
    <row r="23" spans="1:9" s="10" customFormat="1" ht="19.5" customHeight="1">
      <c r="A23" s="109"/>
      <c r="B23" s="112" t="s">
        <v>226</v>
      </c>
      <c r="C23" s="114">
        <v>100</v>
      </c>
      <c r="E23" s="13"/>
      <c r="F23" s="28"/>
      <c r="G23" s="28"/>
      <c r="H23" s="28"/>
      <c r="I23" s="28"/>
    </row>
    <row r="24" spans="1:9" s="8" customFormat="1" ht="19.5" customHeight="1">
      <c r="A24" s="21"/>
      <c r="B24" s="112" t="s">
        <v>227</v>
      </c>
      <c r="C24" s="114">
        <v>500</v>
      </c>
      <c r="E24" s="11"/>
      <c r="F24" s="18" t="s">
        <v>125</v>
      </c>
      <c r="G24" s="18" t="s">
        <v>126</v>
      </c>
      <c r="H24" s="18" t="s">
        <v>125</v>
      </c>
      <c r="I24" s="18" t="s">
        <v>126</v>
      </c>
    </row>
    <row r="25" spans="1:9" s="8" customFormat="1" ht="19.5" customHeight="1">
      <c r="A25" s="21"/>
      <c r="B25" s="112" t="s">
        <v>202</v>
      </c>
      <c r="C25" s="114">
        <v>200</v>
      </c>
      <c r="E25" s="33" t="s">
        <v>231</v>
      </c>
      <c r="F25" s="34"/>
      <c r="G25" s="35"/>
      <c r="H25" s="34"/>
      <c r="I25" s="35"/>
    </row>
    <row r="26" spans="1:9" s="10" customFormat="1" ht="19.5" customHeight="1">
      <c r="A26" s="109">
        <v>8</v>
      </c>
      <c r="B26" s="113" t="s">
        <v>20</v>
      </c>
      <c r="C26" s="111">
        <v>15000</v>
      </c>
      <c r="E26" s="33" t="s">
        <v>232</v>
      </c>
      <c r="F26" s="36">
        <f>C26*80%*90%</f>
        <v>10800</v>
      </c>
      <c r="G26" s="36">
        <f>C26*20%*90%</f>
        <v>2700</v>
      </c>
      <c r="H26" s="36">
        <f>C26*10%</f>
        <v>1500</v>
      </c>
      <c r="I26" s="36"/>
    </row>
    <row r="27" spans="1:9" s="10" customFormat="1" ht="19.5" customHeight="1">
      <c r="A27" s="109">
        <v>9</v>
      </c>
      <c r="B27" s="113" t="s">
        <v>105</v>
      </c>
      <c r="C27" s="111">
        <v>3000</v>
      </c>
      <c r="E27" s="13" t="s">
        <v>146</v>
      </c>
      <c r="F27" s="28"/>
      <c r="G27" s="28"/>
      <c r="H27" s="19"/>
      <c r="I27" s="28"/>
    </row>
    <row r="28" spans="1:9" s="10" customFormat="1" ht="19.5" customHeight="1">
      <c r="A28" s="109">
        <v>10</v>
      </c>
      <c r="B28" s="113" t="s">
        <v>21</v>
      </c>
      <c r="C28" s="111">
        <f>C29+C30</f>
        <v>2100</v>
      </c>
      <c r="E28" s="13" t="s">
        <v>110</v>
      </c>
      <c r="F28" s="19">
        <f>SUM(F24:F27)</f>
        <v>10800</v>
      </c>
      <c r="G28" s="19">
        <f>SUM(G24:G27)</f>
        <v>2700</v>
      </c>
      <c r="H28" s="19">
        <f>SUM(H24:H27)</f>
        <v>1500</v>
      </c>
      <c r="I28" s="19">
        <f>SUM(I24:I27)</f>
        <v>0</v>
      </c>
    </row>
    <row r="29" spans="1:9" s="8" customFormat="1" ht="19.5" customHeight="1">
      <c r="A29" s="21"/>
      <c r="B29" s="112" t="s">
        <v>139</v>
      </c>
      <c r="C29" s="114">
        <v>1480</v>
      </c>
      <c r="F29" s="27"/>
      <c r="G29" s="27"/>
      <c r="H29" s="27"/>
      <c r="I29" s="27"/>
    </row>
    <row r="30" spans="1:9" s="8" customFormat="1" ht="19.5" customHeight="1">
      <c r="A30" s="21"/>
      <c r="B30" s="112" t="s">
        <v>109</v>
      </c>
      <c r="C30" s="114">
        <v>620</v>
      </c>
      <c r="F30" s="27"/>
      <c r="G30" s="27"/>
      <c r="H30" s="27"/>
      <c r="I30" s="27"/>
    </row>
    <row r="31" spans="1:9" s="10" customFormat="1" ht="19.5" customHeight="1">
      <c r="A31" s="109">
        <v>11</v>
      </c>
      <c r="B31" s="113" t="s">
        <v>106</v>
      </c>
      <c r="C31" s="111">
        <v>100</v>
      </c>
      <c r="F31" s="15"/>
      <c r="G31" s="15"/>
      <c r="H31" s="15"/>
      <c r="I31" s="15"/>
    </row>
    <row r="32" spans="1:9" s="10" customFormat="1" ht="19.5" customHeight="1">
      <c r="A32" s="109" t="s">
        <v>2</v>
      </c>
      <c r="B32" s="110" t="s">
        <v>124</v>
      </c>
      <c r="C32" s="111">
        <f>C33+C36</f>
        <v>948814</v>
      </c>
      <c r="E32" s="23" t="e">
        <f>C32-#REF!</f>
        <v>#REF!</v>
      </c>
      <c r="F32" s="15"/>
      <c r="G32" s="15"/>
      <c r="H32" s="15"/>
      <c r="I32" s="15"/>
    </row>
    <row r="33" spans="1:9" s="10" customFormat="1" ht="19.5" customHeight="1">
      <c r="A33" s="109" t="s">
        <v>107</v>
      </c>
      <c r="B33" s="113" t="s">
        <v>140</v>
      </c>
      <c r="C33" s="111">
        <f>C34+C35</f>
        <v>50600</v>
      </c>
      <c r="E33" s="17">
        <f>C7-C33</f>
        <v>3400</v>
      </c>
      <c r="F33" s="14">
        <f>C33-C26-C27-C24-C25-C31</f>
        <v>31800</v>
      </c>
      <c r="G33" s="15"/>
      <c r="H33" s="15"/>
      <c r="I33" s="15"/>
    </row>
    <row r="34" spans="1:9" s="10" customFormat="1" ht="19.5" hidden="1" customHeight="1">
      <c r="A34" s="21"/>
      <c r="B34" s="112" t="s">
        <v>141</v>
      </c>
      <c r="C34" s="114">
        <v>38400</v>
      </c>
      <c r="D34" s="16"/>
      <c r="E34" s="16"/>
      <c r="F34" s="27"/>
      <c r="G34" s="27"/>
      <c r="H34" s="27"/>
      <c r="I34" s="27"/>
    </row>
    <row r="35" spans="1:9" s="10" customFormat="1" ht="19.5" hidden="1" customHeight="1">
      <c r="A35" s="21"/>
      <c r="B35" s="112" t="s">
        <v>142</v>
      </c>
      <c r="C35" s="114">
        <f>C20+C11+C12+C16</f>
        <v>12200</v>
      </c>
      <c r="D35" s="16"/>
      <c r="E35" s="16"/>
      <c r="F35" s="27"/>
      <c r="G35" s="27"/>
      <c r="H35" s="27"/>
      <c r="I35" s="27"/>
    </row>
    <row r="36" spans="1:9" s="10" customFormat="1" ht="19.5" customHeight="1">
      <c r="A36" s="109" t="s">
        <v>4</v>
      </c>
      <c r="B36" s="113" t="s">
        <v>123</v>
      </c>
      <c r="C36" s="111">
        <f>C37+C38</f>
        <v>898214</v>
      </c>
      <c r="F36" s="15"/>
      <c r="G36" s="15"/>
      <c r="H36" s="15"/>
      <c r="I36" s="15"/>
    </row>
    <row r="37" spans="1:9" s="8" customFormat="1" ht="19.5" customHeight="1">
      <c r="A37" s="21">
        <v>1</v>
      </c>
      <c r="B37" s="112" t="s">
        <v>108</v>
      </c>
      <c r="C37" s="114">
        <v>684106</v>
      </c>
      <c r="F37" s="27"/>
      <c r="G37" s="27"/>
      <c r="H37" s="27"/>
      <c r="I37" s="27"/>
    </row>
    <row r="38" spans="1:9" s="8" customFormat="1" ht="19.5" customHeight="1">
      <c r="A38" s="21">
        <v>2</v>
      </c>
      <c r="B38" s="112" t="s">
        <v>179</v>
      </c>
      <c r="C38" s="114">
        <v>214108</v>
      </c>
      <c r="F38" s="27"/>
      <c r="G38" s="27"/>
      <c r="H38" s="27"/>
      <c r="I38" s="27"/>
    </row>
    <row r="39" spans="1:9" s="8" customFormat="1" ht="15.75">
      <c r="A39" s="27"/>
      <c r="C39" s="37"/>
      <c r="F39" s="27"/>
      <c r="G39" s="27"/>
      <c r="H39" s="27"/>
      <c r="I39" s="27"/>
    </row>
    <row r="40" spans="1:9" s="8" customFormat="1" ht="15.75">
      <c r="A40" s="27"/>
      <c r="B40" s="10"/>
      <c r="C40" s="38"/>
      <c r="F40" s="27"/>
      <c r="G40" s="27"/>
      <c r="H40" s="27"/>
      <c r="I40" s="27"/>
    </row>
    <row r="41" spans="1:9" s="8" customFormat="1" ht="15.75">
      <c r="A41" s="27"/>
      <c r="C41" s="26"/>
      <c r="F41" s="27"/>
      <c r="G41" s="27"/>
      <c r="H41" s="27"/>
      <c r="I41" s="27"/>
    </row>
    <row r="42" spans="1:9" s="8" customFormat="1" ht="15.75">
      <c r="A42" s="27"/>
      <c r="C42" s="26"/>
      <c r="F42" s="27"/>
      <c r="G42" s="27"/>
      <c r="H42" s="27"/>
      <c r="I42" s="27"/>
    </row>
    <row r="43" spans="1:9">
      <c r="C43" s="39"/>
    </row>
  </sheetData>
  <mergeCells count="4">
    <mergeCell ref="A2:C2"/>
    <mergeCell ref="A3:C3"/>
    <mergeCell ref="F22:G22"/>
    <mergeCell ref="H22:I22"/>
  </mergeCells>
  <phoneticPr fontId="28" type="noConversion"/>
  <pageMargins left="0.56000000000000005" right="0.15748031496062992" top="0.54" bottom="0.59055118110236227" header="0.19685039370078741" footer="0.19685039370078741"/>
  <pageSetup paperSize="9"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H145"/>
  <sheetViews>
    <sheetView view="pageBreakPreview" topLeftCell="B1" zoomScale="85" zoomScaleNormal="70" zoomScaleSheetLayoutView="85" workbookViewId="0">
      <pane ySplit="6" topLeftCell="A77" activePane="bottomLeft" state="frozen"/>
      <selection pane="bottomLeft" activeCell="Z84" sqref="Z84"/>
    </sheetView>
  </sheetViews>
  <sheetFormatPr defaultRowHeight="15.75"/>
  <cols>
    <col min="1" max="1" width="7.42578125" style="79" customWidth="1"/>
    <col min="2" max="2" width="36.28515625" style="24" customWidth="1"/>
    <col min="3" max="3" width="10.140625" style="24" customWidth="1"/>
    <col min="4" max="4" width="9.140625" style="24" customWidth="1"/>
    <col min="5" max="5" width="7.140625" style="24" customWidth="1"/>
    <col min="6" max="6" width="7.28515625" style="24" customWidth="1"/>
    <col min="7" max="7" width="7.42578125" style="24" customWidth="1"/>
    <col min="8" max="8" width="7.5703125" style="24" customWidth="1"/>
    <col min="9" max="9" width="6.28515625" style="24" customWidth="1"/>
    <col min="10" max="10" width="6.85546875" style="24" customWidth="1"/>
    <col min="11" max="11" width="5.7109375" style="24" customWidth="1"/>
    <col min="12" max="12" width="5.85546875" style="24" customWidth="1"/>
    <col min="13" max="13" width="7.85546875" style="24" customWidth="1"/>
    <col min="14" max="14" width="6.7109375" style="24" customWidth="1"/>
    <col min="15" max="15" width="6.5703125" style="24" customWidth="1"/>
    <col min="16" max="16" width="7.42578125" style="24" customWidth="1"/>
    <col min="17" max="18" width="6.42578125" style="24" customWidth="1"/>
    <col min="19" max="19" width="8.42578125" style="24" customWidth="1"/>
    <col min="20" max="20" width="6" style="24" customWidth="1"/>
    <col min="21" max="21" width="7.42578125" style="24" customWidth="1"/>
    <col min="22" max="22" width="5.5703125" style="24" customWidth="1"/>
    <col min="23" max="23" width="6.28515625" style="24" customWidth="1"/>
    <col min="24" max="24" width="6.140625" style="24" customWidth="1"/>
    <col min="25" max="25" width="6.5703125" style="24" customWidth="1"/>
    <col min="26" max="26" width="6.28515625" style="24" customWidth="1"/>
    <col min="27" max="27" width="6.42578125" style="24" customWidth="1"/>
    <col min="28" max="28" width="8.28515625" style="24" customWidth="1"/>
    <col min="29" max="29" width="7.28515625" style="24" customWidth="1"/>
    <col min="30" max="30" width="8.5703125" style="24" customWidth="1"/>
    <col min="31" max="31" width="11.5703125" style="24" hidden="1" customWidth="1"/>
    <col min="32" max="32" width="9.7109375" style="24" hidden="1" customWidth="1"/>
    <col min="33" max="34" width="12.42578125" style="24" hidden="1" customWidth="1"/>
    <col min="35" max="35" width="5.5703125" style="24" customWidth="1"/>
    <col min="36" max="16384" width="9.140625" style="24"/>
  </cols>
  <sheetData>
    <row r="1" spans="1:32">
      <c r="AB1" s="282" t="s">
        <v>214</v>
      </c>
      <c r="AC1" s="282"/>
      <c r="AD1" s="282"/>
    </row>
    <row r="2" spans="1:32" ht="23.25" customHeight="1">
      <c r="A2" s="284" t="s">
        <v>233</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row>
    <row r="3" spans="1:32" ht="18.75" customHeight="1">
      <c r="A3" s="283" t="str">
        <f>'Biểu 1'!A3:C3</f>
        <v>(Kèm theo Quyết định số 2128 /QĐ-UBND ngày 20 tháng 12 năm 2022 của UBND huyện Tuần Giáo)</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row>
    <row r="4" spans="1:32" s="80" customFormat="1" ht="18" customHeight="1">
      <c r="A4" s="115"/>
      <c r="B4" s="116"/>
      <c r="C4" s="117"/>
      <c r="D4" s="118"/>
      <c r="E4" s="118"/>
      <c r="F4" s="118"/>
      <c r="G4" s="118"/>
      <c r="H4" s="118"/>
      <c r="I4" s="118"/>
      <c r="J4" s="118"/>
      <c r="K4" s="118"/>
      <c r="L4" s="118"/>
      <c r="M4" s="118"/>
      <c r="N4" s="118"/>
      <c r="O4" s="118"/>
      <c r="P4" s="118"/>
      <c r="Q4" s="118"/>
      <c r="R4" s="118"/>
      <c r="S4" s="118"/>
      <c r="T4" s="118"/>
      <c r="U4" s="118"/>
      <c r="V4" s="118"/>
      <c r="W4" s="118"/>
      <c r="X4" s="118"/>
      <c r="Y4" s="118"/>
      <c r="Z4" s="119"/>
      <c r="AA4" s="118"/>
      <c r="AB4" s="285" t="s">
        <v>101</v>
      </c>
      <c r="AC4" s="285"/>
      <c r="AD4" s="285"/>
      <c r="AE4" s="78"/>
      <c r="AF4" s="78"/>
    </row>
    <row r="5" spans="1:32" s="86" customFormat="1" ht="57" customHeight="1">
      <c r="A5" s="81" t="s">
        <v>0</v>
      </c>
      <c r="B5" s="82" t="s">
        <v>44</v>
      </c>
      <c r="C5" s="100" t="s">
        <v>45</v>
      </c>
      <c r="D5" s="83" t="s">
        <v>46</v>
      </c>
      <c r="E5" s="83" t="s">
        <v>48</v>
      </c>
      <c r="F5" s="83" t="s">
        <v>49</v>
      </c>
      <c r="G5" s="83" t="s">
        <v>47</v>
      </c>
      <c r="H5" s="83" t="s">
        <v>50</v>
      </c>
      <c r="I5" s="83" t="s">
        <v>51</v>
      </c>
      <c r="J5" s="83" t="s">
        <v>98</v>
      </c>
      <c r="K5" s="84" t="s">
        <v>52</v>
      </c>
      <c r="L5" s="83" t="s">
        <v>53</v>
      </c>
      <c r="M5" s="83" t="s">
        <v>97</v>
      </c>
      <c r="N5" s="83" t="s">
        <v>54</v>
      </c>
      <c r="O5" s="83" t="s">
        <v>55</v>
      </c>
      <c r="P5" s="83" t="s">
        <v>56</v>
      </c>
      <c r="Q5" s="83" t="s">
        <v>57</v>
      </c>
      <c r="R5" s="83" t="s">
        <v>59</v>
      </c>
      <c r="S5" s="83" t="s">
        <v>58</v>
      </c>
      <c r="T5" s="83" t="s">
        <v>99</v>
      </c>
      <c r="U5" s="83" t="s">
        <v>60</v>
      </c>
      <c r="V5" s="83" t="s">
        <v>63</v>
      </c>
      <c r="W5" s="83" t="s">
        <v>61</v>
      </c>
      <c r="X5" s="83" t="s">
        <v>216</v>
      </c>
      <c r="Y5" s="83" t="s">
        <v>62</v>
      </c>
      <c r="Z5" s="83" t="s">
        <v>64</v>
      </c>
      <c r="AA5" s="83" t="s">
        <v>65</v>
      </c>
      <c r="AB5" s="83" t="s">
        <v>66</v>
      </c>
      <c r="AC5" s="83" t="s">
        <v>67</v>
      </c>
      <c r="AD5" s="83" t="s">
        <v>68</v>
      </c>
      <c r="AE5" s="85"/>
      <c r="AF5" s="85"/>
    </row>
    <row r="6" spans="1:32" s="90" customFormat="1" ht="23.25" hidden="1" customHeight="1">
      <c r="A6" s="87" t="s">
        <v>1</v>
      </c>
      <c r="B6" s="87" t="s">
        <v>2</v>
      </c>
      <c r="C6" s="89" t="s">
        <v>69</v>
      </c>
      <c r="D6" s="88" t="s">
        <v>70</v>
      </c>
      <c r="E6" s="89">
        <v>1</v>
      </c>
      <c r="F6" s="89">
        <v>2</v>
      </c>
      <c r="G6" s="89">
        <v>3</v>
      </c>
      <c r="H6" s="89">
        <v>4</v>
      </c>
      <c r="I6" s="89">
        <v>5</v>
      </c>
      <c r="J6" s="89">
        <v>6</v>
      </c>
      <c r="K6" s="89">
        <v>7</v>
      </c>
      <c r="L6" s="89">
        <v>8</v>
      </c>
      <c r="M6" s="89">
        <v>9</v>
      </c>
      <c r="N6" s="89">
        <v>10</v>
      </c>
      <c r="O6" s="89">
        <v>11</v>
      </c>
      <c r="P6" s="89">
        <v>12</v>
      </c>
      <c r="Q6" s="89">
        <v>13</v>
      </c>
      <c r="R6" s="89">
        <v>14</v>
      </c>
      <c r="S6" s="89">
        <v>15</v>
      </c>
      <c r="T6" s="89">
        <v>16</v>
      </c>
      <c r="U6" s="89">
        <v>17</v>
      </c>
      <c r="V6" s="89">
        <v>18</v>
      </c>
      <c r="W6" s="89">
        <v>19</v>
      </c>
      <c r="X6" s="89">
        <v>20</v>
      </c>
      <c r="Y6" s="89">
        <v>21</v>
      </c>
      <c r="Z6" s="89">
        <v>22</v>
      </c>
      <c r="AA6" s="89">
        <v>23</v>
      </c>
      <c r="AB6" s="89">
        <v>24</v>
      </c>
      <c r="AC6" s="89">
        <v>25</v>
      </c>
      <c r="AD6" s="89" t="s">
        <v>25</v>
      </c>
      <c r="AE6" s="85"/>
      <c r="AF6" s="85"/>
    </row>
    <row r="7" spans="1:32" s="92" customFormat="1" ht="21.75" customHeight="1">
      <c r="A7" s="120"/>
      <c r="B7" s="121" t="s">
        <v>71</v>
      </c>
      <c r="C7" s="122">
        <f t="shared" ref="C7:AD7" si="0">+C8+C86</f>
        <v>948814</v>
      </c>
      <c r="D7" s="122">
        <f t="shared" si="0"/>
        <v>801093</v>
      </c>
      <c r="E7" s="122">
        <f t="shared" si="0"/>
        <v>8107</v>
      </c>
      <c r="F7" s="122">
        <f t="shared" si="0"/>
        <v>7822</v>
      </c>
      <c r="G7" s="122">
        <f t="shared" si="0"/>
        <v>9429</v>
      </c>
      <c r="H7" s="122">
        <f t="shared" si="0"/>
        <v>30453</v>
      </c>
      <c r="I7" s="122">
        <f t="shared" si="0"/>
        <v>1277</v>
      </c>
      <c r="J7" s="122">
        <f t="shared" si="0"/>
        <v>8875</v>
      </c>
      <c r="K7" s="122">
        <f t="shared" si="0"/>
        <v>871</v>
      </c>
      <c r="L7" s="122">
        <f t="shared" si="0"/>
        <v>639</v>
      </c>
      <c r="M7" s="122">
        <f t="shared" si="0"/>
        <v>30953</v>
      </c>
      <c r="N7" s="122">
        <f t="shared" si="0"/>
        <v>2197</v>
      </c>
      <c r="O7" s="122">
        <f t="shared" si="0"/>
        <v>1920</v>
      </c>
      <c r="P7" s="122">
        <f t="shared" si="0"/>
        <v>50626</v>
      </c>
      <c r="Q7" s="122">
        <f t="shared" si="0"/>
        <v>5775</v>
      </c>
      <c r="R7" s="122">
        <f t="shared" si="0"/>
        <v>5653</v>
      </c>
      <c r="S7" s="122">
        <f t="shared" si="0"/>
        <v>424980</v>
      </c>
      <c r="T7" s="122">
        <f t="shared" si="0"/>
        <v>926</v>
      </c>
      <c r="U7" s="122">
        <f t="shared" si="0"/>
        <v>20585</v>
      </c>
      <c r="V7" s="122">
        <f t="shared" si="0"/>
        <v>149</v>
      </c>
      <c r="W7" s="122">
        <f t="shared" si="0"/>
        <v>6784</v>
      </c>
      <c r="X7" s="122">
        <f t="shared" si="0"/>
        <v>785</v>
      </c>
      <c r="Y7" s="122">
        <f t="shared" si="0"/>
        <v>5006</v>
      </c>
      <c r="Z7" s="122">
        <f t="shared" si="0"/>
        <v>1460</v>
      </c>
      <c r="AA7" s="122">
        <f t="shared" si="0"/>
        <v>4854</v>
      </c>
      <c r="AB7" s="122">
        <f t="shared" si="0"/>
        <v>139992</v>
      </c>
      <c r="AC7" s="122">
        <f t="shared" si="0"/>
        <v>30975</v>
      </c>
      <c r="AD7" s="122">
        <f t="shared" si="0"/>
        <v>147721</v>
      </c>
      <c r="AE7" s="91">
        <v>948814</v>
      </c>
      <c r="AF7" s="91">
        <f>AE7-C7</f>
        <v>0</v>
      </c>
    </row>
    <row r="8" spans="1:32" s="92" customFormat="1" ht="21.75" customHeight="1">
      <c r="A8" s="123" t="s">
        <v>1</v>
      </c>
      <c r="B8" s="121" t="s">
        <v>72</v>
      </c>
      <c r="C8" s="122">
        <f>C9+C14+C85</f>
        <v>734706</v>
      </c>
      <c r="D8" s="122">
        <f t="shared" ref="D8:AD8" si="1">D9+D14+D85</f>
        <v>641835</v>
      </c>
      <c r="E8" s="122">
        <f t="shared" si="1"/>
        <v>8107</v>
      </c>
      <c r="F8" s="122">
        <f t="shared" si="1"/>
        <v>3976</v>
      </c>
      <c r="G8" s="122">
        <f t="shared" si="1"/>
        <v>9429</v>
      </c>
      <c r="H8" s="122">
        <f t="shared" si="1"/>
        <v>11907</v>
      </c>
      <c r="I8" s="122">
        <f t="shared" si="1"/>
        <v>1277</v>
      </c>
      <c r="J8" s="122">
        <f t="shared" si="1"/>
        <v>8875</v>
      </c>
      <c r="K8" s="122">
        <f t="shared" si="1"/>
        <v>871</v>
      </c>
      <c r="L8" s="122">
        <f t="shared" si="1"/>
        <v>639</v>
      </c>
      <c r="M8" s="122">
        <f t="shared" si="1"/>
        <v>15989</v>
      </c>
      <c r="N8" s="122">
        <f t="shared" si="1"/>
        <v>382</v>
      </c>
      <c r="O8" s="122">
        <f t="shared" si="1"/>
        <v>1920</v>
      </c>
      <c r="P8" s="122">
        <f t="shared" si="1"/>
        <v>46458</v>
      </c>
      <c r="Q8" s="122">
        <f t="shared" si="1"/>
        <v>641</v>
      </c>
      <c r="R8" s="122">
        <f t="shared" si="1"/>
        <v>930</v>
      </c>
      <c r="S8" s="122">
        <f t="shared" si="1"/>
        <v>424980</v>
      </c>
      <c r="T8" s="122">
        <f t="shared" si="1"/>
        <v>926</v>
      </c>
      <c r="U8" s="122">
        <f t="shared" si="1"/>
        <v>4461</v>
      </c>
      <c r="V8" s="122">
        <f t="shared" si="1"/>
        <v>149</v>
      </c>
      <c r="W8" s="122">
        <f t="shared" si="1"/>
        <v>6784</v>
      </c>
      <c r="X8" s="122">
        <f t="shared" si="1"/>
        <v>785</v>
      </c>
      <c r="Y8" s="122">
        <f t="shared" si="1"/>
        <v>5006</v>
      </c>
      <c r="Z8" s="122">
        <f t="shared" si="1"/>
        <v>1432</v>
      </c>
      <c r="AA8" s="122">
        <f t="shared" si="1"/>
        <v>4854</v>
      </c>
      <c r="AB8" s="122">
        <f t="shared" si="1"/>
        <v>50082</v>
      </c>
      <c r="AC8" s="122">
        <f>AC9+AC14+AC85</f>
        <v>30975</v>
      </c>
      <c r="AD8" s="122">
        <f t="shared" si="1"/>
        <v>92871</v>
      </c>
      <c r="AE8" s="91"/>
      <c r="AF8" s="91"/>
    </row>
    <row r="9" spans="1:32" s="92" customFormat="1" ht="22.5" customHeight="1">
      <c r="A9" s="81" t="s">
        <v>3</v>
      </c>
      <c r="B9" s="124" t="s">
        <v>23</v>
      </c>
      <c r="C9" s="125">
        <f>C10+C11</f>
        <v>36868</v>
      </c>
      <c r="D9" s="125">
        <f>D10+D11</f>
        <v>34168</v>
      </c>
      <c r="E9" s="125"/>
      <c r="F9" s="125"/>
      <c r="G9" s="125"/>
      <c r="H9" s="125"/>
      <c r="I9" s="125"/>
      <c r="J9" s="125"/>
      <c r="K9" s="125"/>
      <c r="L9" s="125"/>
      <c r="M9" s="125"/>
      <c r="N9" s="125"/>
      <c r="O9" s="125"/>
      <c r="P9" s="125"/>
      <c r="Q9" s="125"/>
      <c r="R9" s="125"/>
      <c r="S9" s="125"/>
      <c r="T9" s="125"/>
      <c r="U9" s="125"/>
      <c r="V9" s="125"/>
      <c r="W9" s="125"/>
      <c r="X9" s="125"/>
      <c r="Y9" s="125"/>
      <c r="Z9" s="125"/>
      <c r="AA9" s="125"/>
      <c r="AB9" s="125">
        <f t="shared" ref="AB9" si="2">AB10+AB11</f>
        <v>34168</v>
      </c>
      <c r="AC9" s="125"/>
      <c r="AD9" s="125">
        <f>AD10+AD11</f>
        <v>2700</v>
      </c>
      <c r="AE9" s="91"/>
      <c r="AF9" s="91"/>
    </row>
    <row r="10" spans="1:32" s="91" customFormat="1" ht="21" customHeight="1">
      <c r="A10" s="81">
        <v>1</v>
      </c>
      <c r="B10" s="124" t="s">
        <v>119</v>
      </c>
      <c r="C10" s="125">
        <f>D10+AD10</f>
        <v>23368</v>
      </c>
      <c r="D10" s="125">
        <f>SUM(E10:AC10)</f>
        <v>23368</v>
      </c>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v>23368</v>
      </c>
      <c r="AC10" s="125"/>
      <c r="AD10" s="125"/>
    </row>
    <row r="11" spans="1:32" s="91" customFormat="1" ht="21" customHeight="1">
      <c r="A11" s="81">
        <v>2</v>
      </c>
      <c r="B11" s="124" t="s">
        <v>120</v>
      </c>
      <c r="C11" s="125">
        <f>D11+AD11</f>
        <v>13500</v>
      </c>
      <c r="D11" s="125">
        <f>D12+D13</f>
        <v>10800</v>
      </c>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f t="shared" ref="AB11:AD11" si="3">AB12+AB13</f>
        <v>10800</v>
      </c>
      <c r="AC11" s="125"/>
      <c r="AD11" s="125">
        <f t="shared" si="3"/>
        <v>2700</v>
      </c>
    </row>
    <row r="12" spans="1:32" s="91" customFormat="1" ht="17.25" customHeight="1">
      <c r="A12" s="126"/>
      <c r="B12" s="127" t="s">
        <v>27</v>
      </c>
      <c r="C12" s="125">
        <f>D12+AD12</f>
        <v>13500</v>
      </c>
      <c r="D12" s="125">
        <f>SUM(E12:AC12)</f>
        <v>10800</v>
      </c>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f>'[1]Thu 2023'!F26</f>
        <v>10800</v>
      </c>
      <c r="AC12" s="128"/>
      <c r="AD12" s="128">
        <f>'[1]Thu 2023'!G26</f>
        <v>2700</v>
      </c>
    </row>
    <row r="13" spans="1:32" s="91" customFormat="1" ht="30" hidden="1" customHeight="1">
      <c r="A13" s="126"/>
      <c r="B13" s="129" t="s">
        <v>145</v>
      </c>
      <c r="C13" s="125">
        <f>D13+AD13</f>
        <v>0</v>
      </c>
      <c r="D13" s="125">
        <f>SUM(E13:AC13)</f>
        <v>0</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row>
    <row r="14" spans="1:32" s="91" customFormat="1" ht="21.75" customHeight="1">
      <c r="A14" s="81" t="s">
        <v>4</v>
      </c>
      <c r="B14" s="124" t="s">
        <v>24</v>
      </c>
      <c r="C14" s="125">
        <f>C15+C19+C21+C38+C37+C39+C40+C41+C75+C43+C42+C56+C81</f>
        <v>683144</v>
      </c>
      <c r="D14" s="125">
        <f t="shared" ref="D14:AD14" si="4">D15+D19+D21+D38+D37+D39+D40+D41+D75+D43+D42+D56+D81</f>
        <v>594832</v>
      </c>
      <c r="E14" s="125">
        <f>E15+E19+E21+E38+E37+E39+E40+E41+E75+E43+E42+E56+E81</f>
        <v>8107</v>
      </c>
      <c r="F14" s="125">
        <f>F15+F19+F21+F38+F37+F39+F40+F41+F75+F43+F42+F56+F81</f>
        <v>3976</v>
      </c>
      <c r="G14" s="125">
        <f t="shared" si="4"/>
        <v>9429</v>
      </c>
      <c r="H14" s="125">
        <f t="shared" si="4"/>
        <v>11907</v>
      </c>
      <c r="I14" s="125">
        <f t="shared" si="4"/>
        <v>1277</v>
      </c>
      <c r="J14" s="125">
        <f t="shared" si="4"/>
        <v>8875</v>
      </c>
      <c r="K14" s="125">
        <f t="shared" si="4"/>
        <v>871</v>
      </c>
      <c r="L14" s="125">
        <f t="shared" si="4"/>
        <v>639</v>
      </c>
      <c r="M14" s="125">
        <f t="shared" si="4"/>
        <v>15989</v>
      </c>
      <c r="N14" s="125">
        <f t="shared" si="4"/>
        <v>382</v>
      </c>
      <c r="O14" s="125">
        <f t="shared" si="4"/>
        <v>1920</v>
      </c>
      <c r="P14" s="125">
        <f t="shared" si="4"/>
        <v>46458</v>
      </c>
      <c r="Q14" s="125">
        <f t="shared" si="4"/>
        <v>641</v>
      </c>
      <c r="R14" s="125">
        <f t="shared" si="4"/>
        <v>930</v>
      </c>
      <c r="S14" s="125">
        <f>S15+S19+S21+S38+S37+S39+S40+S41+S75+S43+S42+S56+S81</f>
        <v>424980</v>
      </c>
      <c r="T14" s="125">
        <f t="shared" si="4"/>
        <v>926</v>
      </c>
      <c r="U14" s="125">
        <f t="shared" si="4"/>
        <v>4461</v>
      </c>
      <c r="V14" s="125">
        <f t="shared" si="4"/>
        <v>149</v>
      </c>
      <c r="W14" s="125">
        <f t="shared" si="4"/>
        <v>6784</v>
      </c>
      <c r="X14" s="125">
        <f t="shared" si="4"/>
        <v>785</v>
      </c>
      <c r="Y14" s="125">
        <f t="shared" si="4"/>
        <v>5006</v>
      </c>
      <c r="Z14" s="125">
        <f t="shared" si="4"/>
        <v>1432</v>
      </c>
      <c r="AA14" s="125">
        <f t="shared" si="4"/>
        <v>4854</v>
      </c>
      <c r="AB14" s="125">
        <f t="shared" si="4"/>
        <v>15914</v>
      </c>
      <c r="AC14" s="125">
        <f t="shared" si="4"/>
        <v>18140</v>
      </c>
      <c r="AD14" s="125">
        <f t="shared" si="4"/>
        <v>88312</v>
      </c>
      <c r="AE14" s="91">
        <v>683144</v>
      </c>
      <c r="AF14" s="91">
        <f>AE14-C14</f>
        <v>0</v>
      </c>
    </row>
    <row r="15" spans="1:32" s="93" customFormat="1" ht="18.75" customHeight="1">
      <c r="A15" s="81">
        <v>1</v>
      </c>
      <c r="B15" s="124" t="s">
        <v>73</v>
      </c>
      <c r="C15" s="125">
        <f t="shared" ref="C15:C20" si="5">D15+AD15</f>
        <v>9082</v>
      </c>
      <c r="D15" s="125">
        <f t="shared" ref="D15:D20" si="6">SUM(E15:AC15)</f>
        <v>4854</v>
      </c>
      <c r="E15" s="125"/>
      <c r="F15" s="125"/>
      <c r="G15" s="125"/>
      <c r="H15" s="125"/>
      <c r="I15" s="125"/>
      <c r="J15" s="125"/>
      <c r="K15" s="125"/>
      <c r="L15" s="125"/>
      <c r="M15" s="125"/>
      <c r="N15" s="125"/>
      <c r="O15" s="125"/>
      <c r="P15" s="125"/>
      <c r="Q15" s="125"/>
      <c r="R15" s="125"/>
      <c r="S15" s="125"/>
      <c r="T15" s="125"/>
      <c r="U15" s="125"/>
      <c r="V15" s="125"/>
      <c r="W15" s="125"/>
      <c r="X15" s="125"/>
      <c r="Y15" s="125"/>
      <c r="Z15" s="125"/>
      <c r="AA15" s="125">
        <f>3354+1500</f>
        <v>4854</v>
      </c>
      <c r="AB15" s="125"/>
      <c r="AC15" s="125"/>
      <c r="AD15" s="125">
        <f>'[1]Xã, TT 2023'!C24</f>
        <v>4228</v>
      </c>
      <c r="AE15" s="91"/>
      <c r="AF15" s="91"/>
    </row>
    <row r="16" spans="1:32" s="91" customFormat="1" ht="18.75" customHeight="1">
      <c r="A16" s="126"/>
      <c r="B16" s="127" t="s">
        <v>143</v>
      </c>
      <c r="C16" s="125">
        <f t="shared" si="5"/>
        <v>1582</v>
      </c>
      <c r="D16" s="125">
        <f t="shared" si="6"/>
        <v>0</v>
      </c>
      <c r="E16" s="128"/>
      <c r="F16" s="128"/>
      <c r="G16" s="128"/>
      <c r="H16" s="128"/>
      <c r="I16" s="128"/>
      <c r="J16" s="128"/>
      <c r="K16" s="128"/>
      <c r="L16" s="128"/>
      <c r="M16" s="128"/>
      <c r="N16" s="128"/>
      <c r="O16" s="128"/>
      <c r="P16" s="128"/>
      <c r="Q16" s="128"/>
      <c r="R16" s="130"/>
      <c r="S16" s="128"/>
      <c r="T16" s="128"/>
      <c r="U16" s="128"/>
      <c r="V16" s="128"/>
      <c r="W16" s="128"/>
      <c r="X16" s="128"/>
      <c r="Y16" s="128"/>
      <c r="Z16" s="128"/>
      <c r="AA16" s="128"/>
      <c r="AB16" s="128"/>
      <c r="AC16" s="128"/>
      <c r="AD16" s="128">
        <v>1582</v>
      </c>
    </row>
    <row r="17" spans="1:32" s="91" customFormat="1" ht="18.75" customHeight="1">
      <c r="A17" s="126"/>
      <c r="B17" s="127" t="s">
        <v>221</v>
      </c>
      <c r="C17" s="125">
        <f t="shared" si="5"/>
        <v>1500</v>
      </c>
      <c r="D17" s="125">
        <f t="shared" si="6"/>
        <v>1500</v>
      </c>
      <c r="E17" s="128"/>
      <c r="F17" s="128"/>
      <c r="G17" s="128"/>
      <c r="H17" s="128"/>
      <c r="I17" s="128"/>
      <c r="J17" s="128"/>
      <c r="K17" s="128"/>
      <c r="L17" s="128"/>
      <c r="M17" s="128"/>
      <c r="N17" s="128"/>
      <c r="O17" s="128"/>
      <c r="P17" s="128"/>
      <c r="Q17" s="128"/>
      <c r="R17" s="130"/>
      <c r="S17" s="128"/>
      <c r="T17" s="128"/>
      <c r="U17" s="128"/>
      <c r="V17" s="128"/>
      <c r="W17" s="128"/>
      <c r="X17" s="128"/>
      <c r="Y17" s="128"/>
      <c r="Z17" s="128"/>
      <c r="AA17" s="128">
        <v>1500</v>
      </c>
      <c r="AB17" s="128"/>
      <c r="AC17" s="128"/>
      <c r="AD17" s="128"/>
    </row>
    <row r="18" spans="1:32" s="91" customFormat="1" ht="18.75" customHeight="1">
      <c r="A18" s="126"/>
      <c r="B18" s="127" t="s">
        <v>188</v>
      </c>
      <c r="C18" s="125">
        <f t="shared" si="5"/>
        <v>3469</v>
      </c>
      <c r="D18" s="125">
        <f t="shared" si="6"/>
        <v>2320</v>
      </c>
      <c r="E18" s="128"/>
      <c r="F18" s="128"/>
      <c r="G18" s="128"/>
      <c r="H18" s="128"/>
      <c r="I18" s="128"/>
      <c r="J18" s="128"/>
      <c r="K18" s="128"/>
      <c r="L18" s="128"/>
      <c r="M18" s="128"/>
      <c r="N18" s="128"/>
      <c r="O18" s="128"/>
      <c r="P18" s="128"/>
      <c r="Q18" s="128"/>
      <c r="R18" s="130"/>
      <c r="S18" s="128"/>
      <c r="T18" s="128"/>
      <c r="U18" s="128"/>
      <c r="V18" s="128"/>
      <c r="W18" s="128"/>
      <c r="X18" s="128"/>
      <c r="Y18" s="128"/>
      <c r="Z18" s="128"/>
      <c r="AA18" s="128">
        <v>2320</v>
      </c>
      <c r="AB18" s="128"/>
      <c r="AC18" s="128"/>
      <c r="AD18" s="128">
        <v>1149</v>
      </c>
    </row>
    <row r="19" spans="1:32" s="93" customFormat="1" ht="18.75" customHeight="1">
      <c r="A19" s="81">
        <v>2</v>
      </c>
      <c r="B19" s="124" t="s">
        <v>74</v>
      </c>
      <c r="C19" s="125">
        <f t="shared" si="5"/>
        <v>3299</v>
      </c>
      <c r="D19" s="125">
        <f t="shared" si="6"/>
        <v>1432</v>
      </c>
      <c r="E19" s="125"/>
      <c r="F19" s="125"/>
      <c r="G19" s="125"/>
      <c r="H19" s="125"/>
      <c r="I19" s="125"/>
      <c r="J19" s="125"/>
      <c r="K19" s="125"/>
      <c r="L19" s="125"/>
      <c r="M19" s="125"/>
      <c r="N19" s="125"/>
      <c r="O19" s="125"/>
      <c r="P19" s="125"/>
      <c r="Q19" s="125"/>
      <c r="R19" s="122"/>
      <c r="S19" s="125"/>
      <c r="T19" s="125"/>
      <c r="U19" s="125"/>
      <c r="V19" s="125"/>
      <c r="W19" s="125"/>
      <c r="X19" s="125"/>
      <c r="Y19" s="125"/>
      <c r="Z19" s="125">
        <f>1717-285</f>
        <v>1432</v>
      </c>
      <c r="AA19" s="125"/>
      <c r="AB19" s="125"/>
      <c r="AC19" s="125"/>
      <c r="AD19" s="125">
        <v>1867</v>
      </c>
      <c r="AE19" s="91"/>
      <c r="AF19" s="91"/>
    </row>
    <row r="20" spans="1:32" s="91" customFormat="1" ht="18.75" customHeight="1">
      <c r="A20" s="126"/>
      <c r="B20" s="127" t="s">
        <v>219</v>
      </c>
      <c r="C20" s="125">
        <f t="shared" si="5"/>
        <v>1582</v>
      </c>
      <c r="D20" s="125">
        <f t="shared" si="6"/>
        <v>0</v>
      </c>
      <c r="E20" s="128"/>
      <c r="F20" s="128"/>
      <c r="G20" s="128"/>
      <c r="H20" s="128"/>
      <c r="I20" s="128"/>
      <c r="J20" s="128"/>
      <c r="K20" s="128"/>
      <c r="L20" s="128"/>
      <c r="M20" s="128"/>
      <c r="N20" s="128"/>
      <c r="O20" s="128"/>
      <c r="P20" s="128"/>
      <c r="Q20" s="128"/>
      <c r="R20" s="130"/>
      <c r="S20" s="128"/>
      <c r="T20" s="128"/>
      <c r="U20" s="128"/>
      <c r="V20" s="128"/>
      <c r="W20" s="128"/>
      <c r="X20" s="128"/>
      <c r="Y20" s="128"/>
      <c r="Z20" s="128"/>
      <c r="AA20" s="128"/>
      <c r="AB20" s="128"/>
      <c r="AC20" s="128"/>
      <c r="AD20" s="128">
        <v>1582</v>
      </c>
    </row>
    <row r="21" spans="1:32" s="93" customFormat="1" ht="18.75" customHeight="1">
      <c r="A21" s="81">
        <v>3</v>
      </c>
      <c r="B21" s="124" t="s">
        <v>201</v>
      </c>
      <c r="C21" s="125">
        <f>D21+AD21</f>
        <v>425458</v>
      </c>
      <c r="D21" s="125">
        <f>D22+D33</f>
        <v>424458</v>
      </c>
      <c r="E21" s="125">
        <f>E22+E33</f>
        <v>50</v>
      </c>
      <c r="F21" s="125">
        <f t="shared" ref="F21:AC21" si="7">F22+F33</f>
        <v>15</v>
      </c>
      <c r="G21" s="125">
        <f t="shared" si="7"/>
        <v>40</v>
      </c>
      <c r="H21" s="125">
        <f t="shared" si="7"/>
        <v>30</v>
      </c>
      <c r="I21" s="125">
        <f t="shared" si="7"/>
        <v>0</v>
      </c>
      <c r="J21" s="125">
        <f t="shared" si="7"/>
        <v>15</v>
      </c>
      <c r="K21" s="125">
        <f t="shared" si="7"/>
        <v>0</v>
      </c>
      <c r="L21" s="125">
        <f t="shared" si="7"/>
        <v>0</v>
      </c>
      <c r="M21" s="125">
        <f t="shared" si="7"/>
        <v>0</v>
      </c>
      <c r="N21" s="125">
        <f t="shared" si="7"/>
        <v>0</v>
      </c>
      <c r="O21" s="125">
        <f t="shared" si="7"/>
        <v>0</v>
      </c>
      <c r="P21" s="125">
        <f t="shared" si="7"/>
        <v>0</v>
      </c>
      <c r="Q21" s="125">
        <f t="shared" si="7"/>
        <v>0</v>
      </c>
      <c r="R21" s="125">
        <f t="shared" si="7"/>
        <v>0</v>
      </c>
      <c r="S21" s="125">
        <f>S22+S33</f>
        <v>419005</v>
      </c>
      <c r="T21" s="125">
        <f>T22+T33</f>
        <v>926</v>
      </c>
      <c r="U21" s="125">
        <f t="shared" si="7"/>
        <v>3724</v>
      </c>
      <c r="V21" s="125">
        <f t="shared" si="7"/>
        <v>0</v>
      </c>
      <c r="W21" s="125">
        <f t="shared" si="7"/>
        <v>0</v>
      </c>
      <c r="X21" s="125">
        <f t="shared" si="7"/>
        <v>0</v>
      </c>
      <c r="Y21" s="125">
        <f t="shared" si="7"/>
        <v>0</v>
      </c>
      <c r="Z21" s="125">
        <f t="shared" si="7"/>
        <v>0</v>
      </c>
      <c r="AA21" s="125">
        <f t="shared" si="7"/>
        <v>0</v>
      </c>
      <c r="AB21" s="125">
        <f t="shared" si="7"/>
        <v>0</v>
      </c>
      <c r="AC21" s="125">
        <f t="shared" si="7"/>
        <v>653</v>
      </c>
      <c r="AD21" s="125">
        <v>1000</v>
      </c>
      <c r="AE21" s="91"/>
      <c r="AF21" s="91"/>
    </row>
    <row r="22" spans="1:32" s="91" customFormat="1" ht="18.75" customHeight="1">
      <c r="A22" s="126" t="s">
        <v>28</v>
      </c>
      <c r="B22" s="127" t="s">
        <v>75</v>
      </c>
      <c r="C22" s="125">
        <f t="shared" ref="C22:C42" si="8">D22+AD22</f>
        <v>419005</v>
      </c>
      <c r="D22" s="125">
        <f t="shared" ref="D22:D26" si="9">SUM(E22:AC22)</f>
        <v>419005</v>
      </c>
      <c r="E22" s="128"/>
      <c r="F22" s="128"/>
      <c r="G22" s="128"/>
      <c r="H22" s="128"/>
      <c r="I22" s="128"/>
      <c r="J22" s="128"/>
      <c r="K22" s="128"/>
      <c r="L22" s="128"/>
      <c r="M22" s="128"/>
      <c r="N22" s="128"/>
      <c r="O22" s="128"/>
      <c r="P22" s="128"/>
      <c r="Q22" s="128"/>
      <c r="R22" s="128"/>
      <c r="S22" s="128">
        <f>423594-S82</f>
        <v>419005</v>
      </c>
      <c r="T22" s="128"/>
      <c r="U22" s="128"/>
      <c r="V22" s="128"/>
      <c r="W22" s="128"/>
      <c r="X22" s="128"/>
      <c r="Y22" s="128"/>
      <c r="Z22" s="128"/>
      <c r="AA22" s="128"/>
      <c r="AB22" s="128"/>
      <c r="AC22" s="128"/>
      <c r="AD22" s="128"/>
    </row>
    <row r="23" spans="1:32" s="91" customFormat="1" ht="18.75" customHeight="1">
      <c r="A23" s="126"/>
      <c r="B23" s="131" t="s">
        <v>203</v>
      </c>
      <c r="C23" s="125">
        <f t="shared" si="8"/>
        <v>10557</v>
      </c>
      <c r="D23" s="125">
        <f t="shared" si="9"/>
        <v>10557</v>
      </c>
      <c r="E23" s="128"/>
      <c r="F23" s="128"/>
      <c r="G23" s="128"/>
      <c r="H23" s="128"/>
      <c r="I23" s="128"/>
      <c r="J23" s="128"/>
      <c r="K23" s="128"/>
      <c r="L23" s="128"/>
      <c r="M23" s="128"/>
      <c r="N23" s="128"/>
      <c r="O23" s="128"/>
      <c r="P23" s="128"/>
      <c r="Q23" s="128"/>
      <c r="R23" s="128"/>
      <c r="S23" s="128">
        <f>+S24+S25+S26</f>
        <v>10557</v>
      </c>
      <c r="T23" s="128"/>
      <c r="U23" s="128"/>
      <c r="V23" s="128"/>
      <c r="W23" s="128"/>
      <c r="X23" s="128"/>
      <c r="Y23" s="128"/>
      <c r="Z23" s="128"/>
      <c r="AA23" s="128"/>
      <c r="AB23" s="128"/>
      <c r="AC23" s="128"/>
      <c r="AD23" s="128"/>
    </row>
    <row r="24" spans="1:32" s="91" customFormat="1" ht="18.75" customHeight="1">
      <c r="A24" s="126"/>
      <c r="B24" s="127" t="s">
        <v>129</v>
      </c>
      <c r="C24" s="125">
        <f>D24+AD24</f>
        <v>7334</v>
      </c>
      <c r="D24" s="125">
        <f t="shared" si="9"/>
        <v>7334</v>
      </c>
      <c r="E24" s="128"/>
      <c r="F24" s="128"/>
      <c r="G24" s="128"/>
      <c r="H24" s="128"/>
      <c r="I24" s="128"/>
      <c r="J24" s="128"/>
      <c r="K24" s="128"/>
      <c r="L24" s="128"/>
      <c r="M24" s="128"/>
      <c r="N24" s="128"/>
      <c r="O24" s="128"/>
      <c r="P24" s="128"/>
      <c r="Q24" s="128"/>
      <c r="R24" s="128"/>
      <c r="S24" s="128">
        <v>7334</v>
      </c>
      <c r="T24" s="128"/>
      <c r="U24" s="128"/>
      <c r="V24" s="128"/>
      <c r="W24" s="128"/>
      <c r="X24" s="128"/>
      <c r="Y24" s="128"/>
      <c r="Z24" s="128"/>
      <c r="AA24" s="128"/>
      <c r="AB24" s="128"/>
      <c r="AC24" s="128"/>
      <c r="AD24" s="128"/>
    </row>
    <row r="25" spans="1:32" s="91" customFormat="1" ht="33" customHeight="1">
      <c r="A25" s="126"/>
      <c r="B25" s="129" t="s">
        <v>131</v>
      </c>
      <c r="C25" s="125">
        <f>D25+AD25</f>
        <v>2117</v>
      </c>
      <c r="D25" s="125">
        <f t="shared" si="9"/>
        <v>2117</v>
      </c>
      <c r="E25" s="128"/>
      <c r="F25" s="128"/>
      <c r="G25" s="128"/>
      <c r="H25" s="128"/>
      <c r="I25" s="128"/>
      <c r="J25" s="128"/>
      <c r="K25" s="128"/>
      <c r="L25" s="128"/>
      <c r="M25" s="128"/>
      <c r="N25" s="128"/>
      <c r="O25" s="128"/>
      <c r="P25" s="128"/>
      <c r="Q25" s="128"/>
      <c r="R25" s="128"/>
      <c r="S25" s="128">
        <v>2117</v>
      </c>
      <c r="T25" s="128"/>
      <c r="U25" s="128"/>
      <c r="V25" s="128"/>
      <c r="W25" s="128"/>
      <c r="X25" s="128"/>
      <c r="Y25" s="128"/>
      <c r="Z25" s="128"/>
      <c r="AA25" s="128"/>
      <c r="AB25" s="128"/>
      <c r="AC25" s="128"/>
      <c r="AD25" s="128"/>
    </row>
    <row r="26" spans="1:32" s="91" customFormat="1" ht="33" customHeight="1">
      <c r="A26" s="126"/>
      <c r="B26" s="129" t="s">
        <v>130</v>
      </c>
      <c r="C26" s="125">
        <f>D26+AD26</f>
        <v>1106</v>
      </c>
      <c r="D26" s="125">
        <f t="shared" si="9"/>
        <v>1106</v>
      </c>
      <c r="E26" s="128"/>
      <c r="F26" s="128"/>
      <c r="G26" s="128"/>
      <c r="H26" s="128"/>
      <c r="I26" s="128"/>
      <c r="J26" s="128"/>
      <c r="K26" s="128"/>
      <c r="L26" s="128"/>
      <c r="M26" s="128"/>
      <c r="N26" s="128"/>
      <c r="O26" s="128"/>
      <c r="P26" s="128"/>
      <c r="Q26" s="128"/>
      <c r="R26" s="128"/>
      <c r="S26" s="128">
        <v>1106</v>
      </c>
      <c r="T26" s="128"/>
      <c r="U26" s="128"/>
      <c r="V26" s="128"/>
      <c r="W26" s="128"/>
      <c r="X26" s="128"/>
      <c r="Y26" s="128"/>
      <c r="Z26" s="128"/>
      <c r="AA26" s="128"/>
      <c r="AB26" s="128"/>
      <c r="AC26" s="128"/>
      <c r="AD26" s="128"/>
    </row>
    <row r="27" spans="1:32" s="91" customFormat="1" ht="17.25" customHeight="1">
      <c r="A27" s="126"/>
      <c r="B27" s="131" t="s">
        <v>204</v>
      </c>
      <c r="C27" s="125">
        <f>D27+AD27</f>
        <v>29712</v>
      </c>
      <c r="D27" s="125">
        <f>SUM(E27:AC27)</f>
        <v>29712</v>
      </c>
      <c r="E27" s="128"/>
      <c r="F27" s="128"/>
      <c r="G27" s="128"/>
      <c r="H27" s="128"/>
      <c r="I27" s="128"/>
      <c r="J27" s="128"/>
      <c r="K27" s="128"/>
      <c r="L27" s="128"/>
      <c r="M27" s="128"/>
      <c r="N27" s="128"/>
      <c r="O27" s="128"/>
      <c r="P27" s="128"/>
      <c r="Q27" s="128"/>
      <c r="R27" s="128"/>
      <c r="S27" s="128">
        <f>S28+S29</f>
        <v>29712</v>
      </c>
      <c r="T27" s="128"/>
      <c r="U27" s="128"/>
      <c r="V27" s="128"/>
      <c r="W27" s="128"/>
      <c r="X27" s="128"/>
      <c r="Y27" s="128"/>
      <c r="Z27" s="128"/>
      <c r="AA27" s="128"/>
      <c r="AB27" s="128"/>
      <c r="AC27" s="128"/>
      <c r="AD27" s="128"/>
    </row>
    <row r="28" spans="1:32" s="91" customFormat="1" ht="17.25" customHeight="1">
      <c r="A28" s="126"/>
      <c r="B28" s="131" t="s">
        <v>132</v>
      </c>
      <c r="C28" s="125">
        <f t="shared" si="8"/>
        <v>28077</v>
      </c>
      <c r="D28" s="125">
        <f t="shared" ref="D28:D42" si="10">SUM(E28:AC28)</f>
        <v>28077</v>
      </c>
      <c r="E28" s="128"/>
      <c r="F28" s="128"/>
      <c r="G28" s="128"/>
      <c r="H28" s="128"/>
      <c r="I28" s="128"/>
      <c r="J28" s="128"/>
      <c r="K28" s="128"/>
      <c r="L28" s="128"/>
      <c r="M28" s="128"/>
      <c r="N28" s="128"/>
      <c r="O28" s="128"/>
      <c r="P28" s="128"/>
      <c r="Q28" s="128"/>
      <c r="R28" s="128"/>
      <c r="S28" s="128">
        <v>28077</v>
      </c>
      <c r="T28" s="128"/>
      <c r="U28" s="128"/>
      <c r="V28" s="128"/>
      <c r="W28" s="128"/>
      <c r="X28" s="128"/>
      <c r="Y28" s="128"/>
      <c r="Z28" s="128"/>
      <c r="AA28" s="128"/>
      <c r="AB28" s="128"/>
      <c r="AC28" s="128"/>
      <c r="AD28" s="128"/>
    </row>
    <row r="29" spans="1:32" s="91" customFormat="1" ht="17.25" customHeight="1">
      <c r="A29" s="126"/>
      <c r="B29" s="131" t="s">
        <v>133</v>
      </c>
      <c r="C29" s="125">
        <f t="shared" si="8"/>
        <v>1635</v>
      </c>
      <c r="D29" s="125">
        <f t="shared" si="10"/>
        <v>1635</v>
      </c>
      <c r="E29" s="128"/>
      <c r="F29" s="128"/>
      <c r="G29" s="128"/>
      <c r="H29" s="128"/>
      <c r="I29" s="128"/>
      <c r="J29" s="128"/>
      <c r="K29" s="128"/>
      <c r="L29" s="128"/>
      <c r="M29" s="128"/>
      <c r="N29" s="128"/>
      <c r="O29" s="128"/>
      <c r="P29" s="128"/>
      <c r="Q29" s="128"/>
      <c r="R29" s="128"/>
      <c r="S29" s="128">
        <v>1635</v>
      </c>
      <c r="T29" s="128"/>
      <c r="U29" s="128"/>
      <c r="V29" s="128"/>
      <c r="W29" s="128"/>
      <c r="X29" s="128"/>
      <c r="Y29" s="128"/>
      <c r="Z29" s="128"/>
      <c r="AA29" s="128"/>
      <c r="AB29" s="128"/>
      <c r="AC29" s="128"/>
      <c r="AD29" s="128"/>
    </row>
    <row r="30" spans="1:32" s="91" customFormat="1" ht="17.25" customHeight="1">
      <c r="A30" s="126"/>
      <c r="B30" s="127" t="s">
        <v>205</v>
      </c>
      <c r="C30" s="125">
        <f>D30+AD30</f>
        <v>27294</v>
      </c>
      <c r="D30" s="125">
        <f>SUM(E30:AC30)</f>
        <v>27294</v>
      </c>
      <c r="E30" s="128"/>
      <c r="F30" s="128"/>
      <c r="G30" s="128"/>
      <c r="H30" s="128"/>
      <c r="I30" s="128"/>
      <c r="J30" s="128"/>
      <c r="K30" s="128"/>
      <c r="L30" s="128"/>
      <c r="M30" s="128"/>
      <c r="N30" s="128"/>
      <c r="O30" s="128"/>
      <c r="P30" s="128"/>
      <c r="Q30" s="128"/>
      <c r="R30" s="128"/>
      <c r="S30" s="128">
        <v>27294</v>
      </c>
      <c r="T30" s="128"/>
      <c r="U30" s="128"/>
      <c r="V30" s="128"/>
      <c r="W30" s="128"/>
      <c r="X30" s="128"/>
      <c r="Y30" s="128"/>
      <c r="Z30" s="128"/>
      <c r="AA30" s="128"/>
      <c r="AB30" s="128"/>
      <c r="AC30" s="128"/>
      <c r="AD30" s="128"/>
    </row>
    <row r="31" spans="1:32" s="91" customFormat="1" ht="30.75" customHeight="1">
      <c r="A31" s="126"/>
      <c r="B31" s="129" t="s">
        <v>206</v>
      </c>
      <c r="C31" s="125">
        <f>D31+AD31</f>
        <v>18</v>
      </c>
      <c r="D31" s="125">
        <f>SUM(E31:AC31)</f>
        <v>18</v>
      </c>
      <c r="E31" s="128"/>
      <c r="F31" s="128"/>
      <c r="G31" s="128"/>
      <c r="H31" s="128"/>
      <c r="I31" s="128"/>
      <c r="J31" s="128"/>
      <c r="K31" s="128"/>
      <c r="L31" s="128"/>
      <c r="M31" s="128"/>
      <c r="N31" s="128"/>
      <c r="O31" s="128"/>
      <c r="P31" s="128"/>
      <c r="Q31" s="128"/>
      <c r="R31" s="128"/>
      <c r="S31" s="128">
        <v>18</v>
      </c>
      <c r="T31" s="128"/>
      <c r="U31" s="128"/>
      <c r="V31" s="128"/>
      <c r="W31" s="128"/>
      <c r="X31" s="128"/>
      <c r="Y31" s="128"/>
      <c r="Z31" s="128"/>
      <c r="AA31" s="128"/>
      <c r="AB31" s="128"/>
      <c r="AC31" s="128"/>
      <c r="AD31" s="128"/>
    </row>
    <row r="32" spans="1:32" s="91" customFormat="1" ht="30.75" customHeight="1">
      <c r="A32" s="126"/>
      <c r="B32" s="129" t="s">
        <v>207</v>
      </c>
      <c r="C32" s="125">
        <f t="shared" si="8"/>
        <v>4758</v>
      </c>
      <c r="D32" s="125">
        <f>SUM(E32:AC32)</f>
        <v>4758</v>
      </c>
      <c r="E32" s="128"/>
      <c r="F32" s="128"/>
      <c r="G32" s="128"/>
      <c r="H32" s="128"/>
      <c r="I32" s="128"/>
      <c r="J32" s="128"/>
      <c r="K32" s="128"/>
      <c r="L32" s="128"/>
      <c r="M32" s="128"/>
      <c r="N32" s="128"/>
      <c r="O32" s="128"/>
      <c r="P32" s="128"/>
      <c r="Q32" s="128"/>
      <c r="R32" s="128"/>
      <c r="S32" s="128">
        <v>4758</v>
      </c>
      <c r="T32" s="128"/>
      <c r="U32" s="128"/>
      <c r="V32" s="128"/>
      <c r="W32" s="128"/>
      <c r="X32" s="128"/>
      <c r="Y32" s="128"/>
      <c r="Z32" s="128"/>
      <c r="AA32" s="128"/>
      <c r="AB32" s="128"/>
      <c r="AC32" s="128"/>
      <c r="AD32" s="128"/>
    </row>
    <row r="33" spans="1:32" s="91" customFormat="1" ht="23.25" customHeight="1">
      <c r="A33" s="126" t="s">
        <v>29</v>
      </c>
      <c r="B33" s="127" t="s">
        <v>76</v>
      </c>
      <c r="C33" s="125">
        <f>D33+AD33</f>
        <v>6453</v>
      </c>
      <c r="D33" s="125">
        <f t="shared" si="10"/>
        <v>5453</v>
      </c>
      <c r="E33" s="128">
        <v>50</v>
      </c>
      <c r="F33" s="128">
        <v>15</v>
      </c>
      <c r="G33" s="128">
        <v>40</v>
      </c>
      <c r="H33" s="128">
        <v>30</v>
      </c>
      <c r="I33" s="128"/>
      <c r="J33" s="128">
        <v>15</v>
      </c>
      <c r="K33" s="128"/>
      <c r="L33" s="128"/>
      <c r="M33" s="128"/>
      <c r="N33" s="128"/>
      <c r="O33" s="128"/>
      <c r="P33" s="128"/>
      <c r="Q33" s="128"/>
      <c r="R33" s="128"/>
      <c r="S33" s="128"/>
      <c r="T33" s="128">
        <f>226+700</f>
        <v>926</v>
      </c>
      <c r="U33" s="128">
        <f>U34+U35+U36+2262+40</f>
        <v>3724</v>
      </c>
      <c r="V33" s="128"/>
      <c r="W33" s="128"/>
      <c r="X33" s="128"/>
      <c r="Y33" s="128"/>
      <c r="Z33" s="128"/>
      <c r="AA33" s="128"/>
      <c r="AB33" s="128"/>
      <c r="AC33" s="128">
        <f>2053-1400</f>
        <v>653</v>
      </c>
      <c r="AD33" s="128">
        <v>1000</v>
      </c>
    </row>
    <row r="34" spans="1:32" s="91" customFormat="1" ht="33" customHeight="1">
      <c r="A34" s="126"/>
      <c r="B34" s="129" t="s">
        <v>208</v>
      </c>
      <c r="C34" s="125">
        <f>D34+AD34</f>
        <v>11</v>
      </c>
      <c r="D34" s="125">
        <f t="shared" si="10"/>
        <v>11</v>
      </c>
      <c r="E34" s="128"/>
      <c r="F34" s="128"/>
      <c r="G34" s="128"/>
      <c r="H34" s="128"/>
      <c r="I34" s="128"/>
      <c r="J34" s="128"/>
      <c r="K34" s="128"/>
      <c r="L34" s="128"/>
      <c r="M34" s="128"/>
      <c r="N34" s="128"/>
      <c r="O34" s="128"/>
      <c r="P34" s="128"/>
      <c r="Q34" s="128"/>
      <c r="R34" s="128"/>
      <c r="S34" s="128"/>
      <c r="T34" s="128"/>
      <c r="U34" s="128">
        <v>11</v>
      </c>
      <c r="V34" s="128"/>
      <c r="W34" s="128"/>
      <c r="X34" s="128"/>
      <c r="Y34" s="128"/>
      <c r="Z34" s="128"/>
      <c r="AA34" s="128"/>
      <c r="AB34" s="128"/>
      <c r="AC34" s="128"/>
      <c r="AD34" s="128"/>
    </row>
    <row r="35" spans="1:32" s="91" customFormat="1" ht="30.75" customHeight="1">
      <c r="A35" s="126"/>
      <c r="B35" s="129" t="s">
        <v>207</v>
      </c>
      <c r="C35" s="125">
        <f>D35+AD35</f>
        <v>11</v>
      </c>
      <c r="D35" s="125">
        <f>SUM(E35:AC35)</f>
        <v>11</v>
      </c>
      <c r="E35" s="128"/>
      <c r="F35" s="128"/>
      <c r="G35" s="128"/>
      <c r="H35" s="128"/>
      <c r="I35" s="128"/>
      <c r="J35" s="128"/>
      <c r="K35" s="128"/>
      <c r="L35" s="128"/>
      <c r="M35" s="128"/>
      <c r="N35" s="128"/>
      <c r="O35" s="128"/>
      <c r="P35" s="128"/>
      <c r="Q35" s="128"/>
      <c r="R35" s="128"/>
      <c r="S35" s="128"/>
      <c r="T35" s="128"/>
      <c r="U35" s="128">
        <v>11</v>
      </c>
      <c r="V35" s="128"/>
      <c r="W35" s="128"/>
      <c r="X35" s="128"/>
      <c r="Y35" s="128"/>
      <c r="Z35" s="128"/>
      <c r="AA35" s="128"/>
      <c r="AB35" s="128"/>
      <c r="AC35" s="128"/>
      <c r="AD35" s="128"/>
    </row>
    <row r="36" spans="1:32" s="91" customFormat="1" ht="17.25" customHeight="1">
      <c r="A36" s="126"/>
      <c r="B36" s="127" t="s">
        <v>41</v>
      </c>
      <c r="C36" s="125">
        <f>D36+AD36</f>
        <v>1400</v>
      </c>
      <c r="D36" s="125">
        <f>SUM(E36:AC36)</f>
        <v>1400</v>
      </c>
      <c r="E36" s="128"/>
      <c r="F36" s="128"/>
      <c r="G36" s="128"/>
      <c r="H36" s="128"/>
      <c r="I36" s="128"/>
      <c r="J36" s="128"/>
      <c r="K36" s="128"/>
      <c r="L36" s="128"/>
      <c r="M36" s="128"/>
      <c r="N36" s="128"/>
      <c r="O36" s="128"/>
      <c r="P36" s="128"/>
      <c r="Q36" s="128"/>
      <c r="R36" s="128"/>
      <c r="S36" s="128"/>
      <c r="T36" s="128"/>
      <c r="U36" s="128">
        <v>1400</v>
      </c>
      <c r="V36" s="128"/>
      <c r="W36" s="128"/>
      <c r="X36" s="128"/>
      <c r="Y36" s="128"/>
      <c r="Z36" s="128"/>
      <c r="AA36" s="128"/>
      <c r="AB36" s="128"/>
      <c r="AC36" s="128"/>
      <c r="AD36" s="128"/>
    </row>
    <row r="37" spans="1:32" s="93" customFormat="1" ht="17.25" customHeight="1">
      <c r="A37" s="81">
        <v>4</v>
      </c>
      <c r="B37" s="124" t="s">
        <v>77</v>
      </c>
      <c r="C37" s="125">
        <f>D37+AD37</f>
        <v>600</v>
      </c>
      <c r="D37" s="125">
        <f>SUM(E37:AC37)</f>
        <v>600</v>
      </c>
      <c r="E37" s="125"/>
      <c r="F37" s="125"/>
      <c r="G37" s="125"/>
      <c r="H37" s="125"/>
      <c r="I37" s="125"/>
      <c r="J37" s="125"/>
      <c r="K37" s="125"/>
      <c r="L37" s="125"/>
      <c r="M37" s="125">
        <v>600</v>
      </c>
      <c r="N37" s="125"/>
      <c r="O37" s="125"/>
      <c r="P37" s="125"/>
      <c r="Q37" s="125"/>
      <c r="R37" s="125"/>
      <c r="S37" s="125"/>
      <c r="T37" s="125"/>
      <c r="U37" s="125"/>
      <c r="V37" s="125"/>
      <c r="W37" s="125"/>
      <c r="X37" s="125"/>
      <c r="Y37" s="125"/>
      <c r="Z37" s="125"/>
      <c r="AA37" s="125"/>
      <c r="AB37" s="125"/>
      <c r="AC37" s="125"/>
      <c r="AD37" s="125"/>
      <c r="AE37" s="91"/>
      <c r="AF37" s="91"/>
    </row>
    <row r="38" spans="1:32" s="93" customFormat="1" ht="17.25" customHeight="1">
      <c r="A38" s="81">
        <v>5</v>
      </c>
      <c r="B38" s="124" t="s">
        <v>78</v>
      </c>
      <c r="C38" s="125">
        <f t="shared" si="8"/>
        <v>200</v>
      </c>
      <c r="D38" s="125">
        <f t="shared" si="10"/>
        <v>200</v>
      </c>
      <c r="E38" s="125">
        <v>200</v>
      </c>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91"/>
      <c r="AF38" s="91"/>
    </row>
    <row r="39" spans="1:32" s="93" customFormat="1" ht="17.25" customHeight="1">
      <c r="A39" s="81">
        <v>6</v>
      </c>
      <c r="B39" s="124" t="s">
        <v>79</v>
      </c>
      <c r="C39" s="125">
        <f t="shared" si="8"/>
        <v>3686</v>
      </c>
      <c r="D39" s="125">
        <f t="shared" si="10"/>
        <v>1786</v>
      </c>
      <c r="E39" s="125"/>
      <c r="F39" s="125"/>
      <c r="G39" s="125"/>
      <c r="H39" s="125"/>
      <c r="I39" s="125"/>
      <c r="J39" s="125"/>
      <c r="K39" s="125"/>
      <c r="L39" s="125"/>
      <c r="M39" s="125"/>
      <c r="N39" s="125"/>
      <c r="O39" s="125"/>
      <c r="P39" s="125"/>
      <c r="Q39" s="125"/>
      <c r="R39" s="125"/>
      <c r="S39" s="125"/>
      <c r="T39" s="125"/>
      <c r="U39" s="125"/>
      <c r="V39" s="125"/>
      <c r="W39" s="125"/>
      <c r="X39" s="125"/>
      <c r="Y39" s="125">
        <f>821+965</f>
        <v>1786</v>
      </c>
      <c r="Z39" s="125"/>
      <c r="AA39" s="125"/>
      <c r="AB39" s="125"/>
      <c r="AC39" s="125"/>
      <c r="AD39" s="125">
        <v>1900</v>
      </c>
      <c r="AE39" s="91"/>
      <c r="AF39" s="91"/>
    </row>
    <row r="40" spans="1:32" s="93" customFormat="1" ht="17.25" customHeight="1">
      <c r="A40" s="81">
        <v>7</v>
      </c>
      <c r="B40" s="132" t="s">
        <v>80</v>
      </c>
      <c r="C40" s="125">
        <f t="shared" si="8"/>
        <v>2889</v>
      </c>
      <c r="D40" s="125">
        <f t="shared" si="10"/>
        <v>2604</v>
      </c>
      <c r="E40" s="125"/>
      <c r="F40" s="125"/>
      <c r="G40" s="125"/>
      <c r="H40" s="125"/>
      <c r="I40" s="125"/>
      <c r="J40" s="125"/>
      <c r="K40" s="125"/>
      <c r="L40" s="125"/>
      <c r="M40" s="125"/>
      <c r="N40" s="125"/>
      <c r="O40" s="125"/>
      <c r="P40" s="125"/>
      <c r="Q40" s="125"/>
      <c r="R40" s="125"/>
      <c r="S40" s="125"/>
      <c r="T40" s="125"/>
      <c r="U40" s="125"/>
      <c r="V40" s="125"/>
      <c r="W40" s="125"/>
      <c r="X40" s="125"/>
      <c r="Y40" s="125">
        <f>1794+810</f>
        <v>2604</v>
      </c>
      <c r="Z40" s="125"/>
      <c r="AA40" s="125"/>
      <c r="AB40" s="125"/>
      <c r="AC40" s="125"/>
      <c r="AD40" s="125">
        <v>285</v>
      </c>
      <c r="AE40" s="91"/>
      <c r="AF40" s="91"/>
    </row>
    <row r="41" spans="1:32" s="93" customFormat="1" ht="17.25" customHeight="1">
      <c r="A41" s="81">
        <v>8</v>
      </c>
      <c r="B41" s="132" t="s">
        <v>81</v>
      </c>
      <c r="C41" s="125">
        <f t="shared" si="8"/>
        <v>616</v>
      </c>
      <c r="D41" s="125">
        <f t="shared" si="10"/>
        <v>616</v>
      </c>
      <c r="E41" s="125"/>
      <c r="F41" s="125"/>
      <c r="G41" s="125"/>
      <c r="H41" s="125"/>
      <c r="I41" s="125"/>
      <c r="J41" s="125"/>
      <c r="K41" s="125"/>
      <c r="L41" s="125"/>
      <c r="M41" s="125"/>
      <c r="N41" s="125"/>
      <c r="O41" s="125"/>
      <c r="P41" s="125"/>
      <c r="Q41" s="125"/>
      <c r="R41" s="125"/>
      <c r="S41" s="125"/>
      <c r="T41" s="125"/>
      <c r="U41" s="125"/>
      <c r="V41" s="125"/>
      <c r="W41" s="125"/>
      <c r="X41" s="125"/>
      <c r="Y41" s="125">
        <f>231+385</f>
        <v>616</v>
      </c>
      <c r="Z41" s="125"/>
      <c r="AA41" s="125"/>
      <c r="AB41" s="125"/>
      <c r="AC41" s="125"/>
      <c r="AD41" s="125"/>
      <c r="AE41" s="91"/>
      <c r="AF41" s="91"/>
    </row>
    <row r="42" spans="1:32" s="93" customFormat="1" ht="17.25" customHeight="1">
      <c r="A42" s="81">
        <v>9</v>
      </c>
      <c r="B42" s="124" t="s">
        <v>82</v>
      </c>
      <c r="C42" s="125">
        <f t="shared" si="8"/>
        <v>4232</v>
      </c>
      <c r="D42" s="125">
        <f t="shared" si="10"/>
        <v>4232</v>
      </c>
      <c r="E42" s="125"/>
      <c r="F42" s="125"/>
      <c r="G42" s="125"/>
      <c r="H42" s="125"/>
      <c r="I42" s="125"/>
      <c r="J42" s="125">
        <f>4000+232</f>
        <v>4232</v>
      </c>
      <c r="K42" s="125"/>
      <c r="L42" s="125"/>
      <c r="M42" s="125"/>
      <c r="N42" s="125"/>
      <c r="O42" s="125"/>
      <c r="P42" s="125"/>
      <c r="Q42" s="125"/>
      <c r="R42" s="125"/>
      <c r="S42" s="125"/>
      <c r="T42" s="125"/>
      <c r="U42" s="125"/>
      <c r="V42" s="125"/>
      <c r="W42" s="125"/>
      <c r="X42" s="125"/>
      <c r="Y42" s="125"/>
      <c r="Z42" s="125"/>
      <c r="AA42" s="125"/>
      <c r="AB42" s="125"/>
      <c r="AC42" s="125"/>
      <c r="AD42" s="125"/>
      <c r="AE42" s="91"/>
      <c r="AF42" s="91"/>
    </row>
    <row r="43" spans="1:32" s="93" customFormat="1" ht="17.25" customHeight="1">
      <c r="A43" s="81">
        <v>10</v>
      </c>
      <c r="B43" s="132" t="s">
        <v>83</v>
      </c>
      <c r="C43" s="125">
        <f>C44+C47+C48+C50</f>
        <v>56948</v>
      </c>
      <c r="D43" s="125">
        <f>D44+D47+D48+D50</f>
        <v>54893</v>
      </c>
      <c r="E43" s="125">
        <f t="shared" ref="E43:F43" si="11">E44+E47+E48+E50</f>
        <v>0</v>
      </c>
      <c r="F43" s="125">
        <f t="shared" si="11"/>
        <v>0</v>
      </c>
      <c r="G43" s="125">
        <f>G44+G47+G48+G50</f>
        <v>0</v>
      </c>
      <c r="H43" s="125">
        <f>H44+H47+H48+H50</f>
        <v>9974</v>
      </c>
      <c r="I43" s="125">
        <f t="shared" ref="I43:AD43" si="12">I44+I47+I48+I50</f>
        <v>0</v>
      </c>
      <c r="J43" s="125">
        <f t="shared" si="12"/>
        <v>3950</v>
      </c>
      <c r="K43" s="125">
        <f t="shared" si="12"/>
        <v>0</v>
      </c>
      <c r="L43" s="125">
        <f t="shared" si="12"/>
        <v>0</v>
      </c>
      <c r="M43" s="125">
        <f>M44+M47+M48+M50</f>
        <v>14033</v>
      </c>
      <c r="N43" s="125">
        <f t="shared" si="12"/>
        <v>0</v>
      </c>
      <c r="O43" s="125">
        <f t="shared" si="12"/>
        <v>0</v>
      </c>
      <c r="P43" s="125">
        <f t="shared" si="12"/>
        <v>0</v>
      </c>
      <c r="Q43" s="125">
        <f t="shared" si="12"/>
        <v>0</v>
      </c>
      <c r="R43" s="125">
        <f t="shared" si="12"/>
        <v>0</v>
      </c>
      <c r="S43" s="125">
        <f t="shared" si="12"/>
        <v>0</v>
      </c>
      <c r="T43" s="125">
        <f t="shared" si="12"/>
        <v>0</v>
      </c>
      <c r="U43" s="125">
        <f t="shared" si="12"/>
        <v>0</v>
      </c>
      <c r="V43" s="125">
        <f t="shared" si="12"/>
        <v>149</v>
      </c>
      <c r="W43" s="125">
        <f t="shared" si="12"/>
        <v>6784</v>
      </c>
      <c r="X43" s="125">
        <f t="shared" si="12"/>
        <v>785</v>
      </c>
      <c r="Y43" s="125">
        <f t="shared" si="12"/>
        <v>0</v>
      </c>
      <c r="Z43" s="125">
        <f t="shared" si="12"/>
        <v>0</v>
      </c>
      <c r="AA43" s="125">
        <f t="shared" si="12"/>
        <v>0</v>
      </c>
      <c r="AB43" s="125">
        <f t="shared" si="12"/>
        <v>15722</v>
      </c>
      <c r="AC43" s="125">
        <f t="shared" si="12"/>
        <v>3496</v>
      </c>
      <c r="AD43" s="125">
        <f t="shared" si="12"/>
        <v>2055</v>
      </c>
      <c r="AE43" s="91"/>
      <c r="AF43" s="91"/>
    </row>
    <row r="44" spans="1:32" s="91" customFormat="1" ht="17.25" customHeight="1">
      <c r="A44" s="126" t="s">
        <v>34</v>
      </c>
      <c r="B44" s="131" t="s">
        <v>35</v>
      </c>
      <c r="C44" s="125">
        <f t="shared" ref="C44:C80" si="13">D44+AD44</f>
        <v>10629</v>
      </c>
      <c r="D44" s="125">
        <f t="shared" ref="D44:D53" si="14">SUM(E44:AC44)</f>
        <v>8574</v>
      </c>
      <c r="E44" s="128">
        <f t="shared" ref="E44:AA44" si="15">SUM(E45:E46)</f>
        <v>0</v>
      </c>
      <c r="F44" s="128">
        <f t="shared" si="15"/>
        <v>0</v>
      </c>
      <c r="G44" s="128">
        <f t="shared" si="15"/>
        <v>0</v>
      </c>
      <c r="H44" s="128">
        <f>SUM(H45:H46)</f>
        <v>5074</v>
      </c>
      <c r="I44" s="128">
        <f t="shared" si="15"/>
        <v>0</v>
      </c>
      <c r="J44" s="128">
        <f t="shared" si="15"/>
        <v>0</v>
      </c>
      <c r="K44" s="128">
        <f t="shared" si="15"/>
        <v>0</v>
      </c>
      <c r="L44" s="128">
        <f t="shared" si="15"/>
        <v>0</v>
      </c>
      <c r="M44" s="128">
        <f t="shared" si="15"/>
        <v>0</v>
      </c>
      <c r="N44" s="128">
        <f t="shared" si="15"/>
        <v>0</v>
      </c>
      <c r="O44" s="128">
        <f t="shared" si="15"/>
        <v>0</v>
      </c>
      <c r="P44" s="128">
        <f t="shared" si="15"/>
        <v>0</v>
      </c>
      <c r="Q44" s="128">
        <f t="shared" si="15"/>
        <v>0</v>
      </c>
      <c r="R44" s="128">
        <f t="shared" si="15"/>
        <v>0</v>
      </c>
      <c r="S44" s="128">
        <f t="shared" si="15"/>
        <v>0</v>
      </c>
      <c r="T44" s="128">
        <f t="shared" si="15"/>
        <v>0</v>
      </c>
      <c r="U44" s="128">
        <f t="shared" si="15"/>
        <v>0</v>
      </c>
      <c r="V44" s="128">
        <f t="shared" si="15"/>
        <v>0</v>
      </c>
      <c r="W44" s="128">
        <f t="shared" si="15"/>
        <v>3500</v>
      </c>
      <c r="X44" s="128">
        <f t="shared" si="15"/>
        <v>0</v>
      </c>
      <c r="Y44" s="128">
        <f t="shared" si="15"/>
        <v>0</v>
      </c>
      <c r="Z44" s="128">
        <f t="shared" si="15"/>
        <v>0</v>
      </c>
      <c r="AA44" s="128">
        <f t="shared" si="15"/>
        <v>0</v>
      </c>
      <c r="AB44" s="128">
        <f>SUM(AB45:AB46)</f>
        <v>0</v>
      </c>
      <c r="AC44" s="128"/>
      <c r="AD44" s="128">
        <v>2055</v>
      </c>
    </row>
    <row r="45" spans="1:32" s="91" customFormat="1" ht="17.25" customHeight="1">
      <c r="A45" s="126"/>
      <c r="B45" s="131" t="s">
        <v>84</v>
      </c>
      <c r="C45" s="125">
        <f t="shared" si="13"/>
        <v>3500</v>
      </c>
      <c r="D45" s="125">
        <f t="shared" si="14"/>
        <v>3500</v>
      </c>
      <c r="E45" s="128"/>
      <c r="F45" s="128"/>
      <c r="G45" s="128"/>
      <c r="H45" s="128"/>
      <c r="I45" s="128"/>
      <c r="J45" s="128"/>
      <c r="K45" s="128"/>
      <c r="L45" s="128"/>
      <c r="M45" s="128"/>
      <c r="N45" s="128"/>
      <c r="O45" s="128"/>
      <c r="P45" s="128"/>
      <c r="Q45" s="128"/>
      <c r="R45" s="128"/>
      <c r="S45" s="128"/>
      <c r="T45" s="128"/>
      <c r="U45" s="128"/>
      <c r="V45" s="128"/>
      <c r="W45" s="128">
        <v>3500</v>
      </c>
      <c r="X45" s="128"/>
      <c r="Y45" s="128"/>
      <c r="Z45" s="128"/>
      <c r="AA45" s="128"/>
      <c r="AB45" s="128"/>
      <c r="AC45" s="128"/>
      <c r="AD45" s="128"/>
    </row>
    <row r="46" spans="1:32" s="91" customFormat="1" ht="17.25" customHeight="1">
      <c r="A46" s="126"/>
      <c r="B46" s="131" t="s">
        <v>209</v>
      </c>
      <c r="C46" s="125">
        <f t="shared" si="13"/>
        <v>5074</v>
      </c>
      <c r="D46" s="125">
        <f t="shared" si="14"/>
        <v>5074</v>
      </c>
      <c r="E46" s="128"/>
      <c r="F46" s="128"/>
      <c r="G46" s="128"/>
      <c r="H46" s="128">
        <f>2537*2</f>
        <v>5074</v>
      </c>
      <c r="I46" s="128"/>
      <c r="J46" s="128"/>
      <c r="K46" s="128"/>
      <c r="L46" s="128"/>
      <c r="M46" s="128"/>
      <c r="N46" s="128"/>
      <c r="O46" s="128"/>
      <c r="P46" s="128"/>
      <c r="Q46" s="128"/>
      <c r="R46" s="128"/>
      <c r="S46" s="128"/>
      <c r="T46" s="128"/>
      <c r="U46" s="128"/>
      <c r="V46" s="128"/>
      <c r="W46" s="128"/>
      <c r="X46" s="128"/>
      <c r="Y46" s="128"/>
      <c r="Z46" s="128"/>
      <c r="AA46" s="128"/>
      <c r="AB46" s="128"/>
      <c r="AC46" s="128"/>
      <c r="AD46" s="128"/>
    </row>
    <row r="47" spans="1:32" s="91" customFormat="1" ht="17.25" customHeight="1">
      <c r="A47" s="126" t="s">
        <v>36</v>
      </c>
      <c r="B47" s="127" t="s">
        <v>85</v>
      </c>
      <c r="C47" s="125">
        <f t="shared" si="13"/>
        <v>20079</v>
      </c>
      <c r="D47" s="125">
        <f t="shared" si="14"/>
        <v>20079</v>
      </c>
      <c r="E47" s="128"/>
      <c r="F47" s="128"/>
      <c r="G47" s="128"/>
      <c r="H47" s="128"/>
      <c r="I47" s="128"/>
      <c r="J47" s="128"/>
      <c r="K47" s="128"/>
      <c r="L47" s="128"/>
      <c r="M47" s="128">
        <v>8000</v>
      </c>
      <c r="N47" s="128"/>
      <c r="O47" s="128"/>
      <c r="P47" s="128"/>
      <c r="Q47" s="128"/>
      <c r="R47" s="128"/>
      <c r="S47" s="128"/>
      <c r="T47" s="128"/>
      <c r="U47" s="128"/>
      <c r="V47" s="128"/>
      <c r="W47" s="128"/>
      <c r="X47" s="128"/>
      <c r="Y47" s="128"/>
      <c r="Z47" s="128"/>
      <c r="AA47" s="128"/>
      <c r="AB47" s="128">
        <v>12079</v>
      </c>
      <c r="AC47" s="128"/>
      <c r="AD47" s="128"/>
    </row>
    <row r="48" spans="1:32" s="91" customFormat="1" ht="17.25" customHeight="1">
      <c r="A48" s="126" t="s">
        <v>37</v>
      </c>
      <c r="B48" s="127" t="s">
        <v>86</v>
      </c>
      <c r="C48" s="125">
        <f t="shared" si="13"/>
        <v>8520</v>
      </c>
      <c r="D48" s="125">
        <f t="shared" si="14"/>
        <v>8520</v>
      </c>
      <c r="E48" s="128"/>
      <c r="F48" s="128"/>
      <c r="G48" s="128"/>
      <c r="H48" s="128">
        <v>4900</v>
      </c>
      <c r="I48" s="128"/>
      <c r="J48" s="128"/>
      <c r="K48" s="128"/>
      <c r="L48" s="128"/>
      <c r="M48" s="128"/>
      <c r="N48" s="128"/>
      <c r="O48" s="128"/>
      <c r="P48" s="128"/>
      <c r="Q48" s="128"/>
      <c r="R48" s="128"/>
      <c r="S48" s="128"/>
      <c r="T48" s="128"/>
      <c r="U48" s="128"/>
      <c r="V48" s="128"/>
      <c r="W48" s="128"/>
      <c r="X48" s="128"/>
      <c r="Y48" s="128"/>
      <c r="Z48" s="128"/>
      <c r="AA48" s="128"/>
      <c r="AB48" s="128">
        <v>824</v>
      </c>
      <c r="AC48" s="128">
        <f>AC49</f>
        <v>2796</v>
      </c>
      <c r="AD48" s="128"/>
    </row>
    <row r="49" spans="1:32" s="91" customFormat="1" ht="17.25" customHeight="1">
      <c r="A49" s="126"/>
      <c r="B49" s="127" t="s">
        <v>38</v>
      </c>
      <c r="C49" s="125">
        <f t="shared" si="13"/>
        <v>2796</v>
      </c>
      <c r="D49" s="125">
        <f t="shared" si="14"/>
        <v>2796</v>
      </c>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v>2796</v>
      </c>
      <c r="AD49" s="128"/>
    </row>
    <row r="50" spans="1:32" s="91" customFormat="1" ht="17.25" customHeight="1">
      <c r="A50" s="126" t="s">
        <v>39</v>
      </c>
      <c r="B50" s="127" t="s">
        <v>40</v>
      </c>
      <c r="C50" s="125">
        <f t="shared" si="13"/>
        <v>17720</v>
      </c>
      <c r="D50" s="125">
        <f>SUM(E50:AC50)</f>
        <v>17720</v>
      </c>
      <c r="E50" s="128"/>
      <c r="F50" s="128"/>
      <c r="G50" s="128"/>
      <c r="H50" s="128"/>
      <c r="I50" s="128"/>
      <c r="J50" s="128">
        <f>J52+J53</f>
        <v>3950</v>
      </c>
      <c r="K50" s="128"/>
      <c r="L50" s="128"/>
      <c r="M50" s="128">
        <f>M51+33+4600+500</f>
        <v>6033</v>
      </c>
      <c r="N50" s="128"/>
      <c r="O50" s="128"/>
      <c r="P50" s="128"/>
      <c r="Q50" s="128"/>
      <c r="R50" s="128"/>
      <c r="S50" s="128"/>
      <c r="T50" s="128"/>
      <c r="U50" s="128"/>
      <c r="V50" s="128">
        <v>149</v>
      </c>
      <c r="W50" s="128">
        <f>1884+1400</f>
        <v>3284</v>
      </c>
      <c r="X50" s="128">
        <f>793-8</f>
        <v>785</v>
      </c>
      <c r="Y50" s="128"/>
      <c r="Z50" s="128"/>
      <c r="AA50" s="128"/>
      <c r="AB50" s="128">
        <v>2819</v>
      </c>
      <c r="AC50" s="128">
        <f>AC54+AC55</f>
        <v>700</v>
      </c>
      <c r="AD50" s="128"/>
    </row>
    <row r="51" spans="1:32" s="91" customFormat="1" ht="32.25" customHeight="1">
      <c r="A51" s="126"/>
      <c r="B51" s="129" t="s">
        <v>220</v>
      </c>
      <c r="C51" s="125">
        <f t="shared" si="13"/>
        <v>900</v>
      </c>
      <c r="D51" s="125">
        <f t="shared" si="14"/>
        <v>900</v>
      </c>
      <c r="E51" s="128"/>
      <c r="F51" s="128"/>
      <c r="G51" s="128"/>
      <c r="H51" s="128"/>
      <c r="I51" s="128"/>
      <c r="J51" s="128"/>
      <c r="K51" s="128"/>
      <c r="L51" s="128"/>
      <c r="M51" s="128">
        <f>400+500</f>
        <v>900</v>
      </c>
      <c r="N51" s="128"/>
      <c r="O51" s="128"/>
      <c r="P51" s="128"/>
      <c r="Q51" s="128"/>
      <c r="R51" s="128"/>
      <c r="S51" s="128"/>
      <c r="T51" s="128"/>
      <c r="U51" s="128"/>
      <c r="V51" s="128"/>
      <c r="W51" s="128"/>
      <c r="X51" s="128"/>
      <c r="Y51" s="128"/>
      <c r="Z51" s="128"/>
      <c r="AA51" s="128"/>
      <c r="AB51" s="128"/>
      <c r="AC51" s="128"/>
      <c r="AD51" s="128"/>
    </row>
    <row r="52" spans="1:32" s="91" customFormat="1" ht="57" customHeight="1">
      <c r="A52" s="126"/>
      <c r="B52" s="129" t="s">
        <v>195</v>
      </c>
      <c r="C52" s="125">
        <f t="shared" si="13"/>
        <v>1800</v>
      </c>
      <c r="D52" s="125">
        <f t="shared" si="14"/>
        <v>1800</v>
      </c>
      <c r="E52" s="128"/>
      <c r="F52" s="128"/>
      <c r="G52" s="128"/>
      <c r="H52" s="128"/>
      <c r="I52" s="128"/>
      <c r="J52" s="128">
        <v>1800</v>
      </c>
      <c r="K52" s="128"/>
      <c r="L52" s="128"/>
      <c r="M52" s="128"/>
      <c r="N52" s="128"/>
      <c r="O52" s="128"/>
      <c r="P52" s="128"/>
      <c r="Q52" s="128"/>
      <c r="R52" s="128"/>
      <c r="S52" s="128"/>
      <c r="T52" s="128"/>
      <c r="U52" s="128"/>
      <c r="V52" s="128"/>
      <c r="W52" s="128"/>
      <c r="X52" s="128"/>
      <c r="Y52" s="128"/>
      <c r="Z52" s="128"/>
      <c r="AA52" s="128"/>
      <c r="AB52" s="128"/>
      <c r="AC52" s="128"/>
      <c r="AD52" s="128"/>
    </row>
    <row r="53" spans="1:32" s="91" customFormat="1" ht="30" customHeight="1">
      <c r="A53" s="126"/>
      <c r="B53" s="129" t="s">
        <v>230</v>
      </c>
      <c r="C53" s="125">
        <f t="shared" si="13"/>
        <v>2150</v>
      </c>
      <c r="D53" s="125">
        <f t="shared" si="14"/>
        <v>2150</v>
      </c>
      <c r="E53" s="128"/>
      <c r="F53" s="128"/>
      <c r="G53" s="128"/>
      <c r="H53" s="128"/>
      <c r="I53" s="128"/>
      <c r="J53" s="128">
        <f>1300+850</f>
        <v>2150</v>
      </c>
      <c r="K53" s="128"/>
      <c r="L53" s="128"/>
      <c r="M53" s="128"/>
      <c r="N53" s="128"/>
      <c r="O53" s="128"/>
      <c r="P53" s="128"/>
      <c r="Q53" s="128"/>
      <c r="R53" s="128"/>
      <c r="S53" s="128"/>
      <c r="T53" s="128"/>
      <c r="U53" s="128"/>
      <c r="V53" s="128"/>
      <c r="W53" s="128"/>
      <c r="X53" s="128"/>
      <c r="Y53" s="128"/>
      <c r="Z53" s="128"/>
      <c r="AA53" s="128"/>
      <c r="AB53" s="128"/>
      <c r="AC53" s="128"/>
      <c r="AD53" s="128"/>
    </row>
    <row r="54" spans="1:32" s="91" customFormat="1" ht="18" customHeight="1">
      <c r="A54" s="126"/>
      <c r="B54" s="127" t="s">
        <v>122</v>
      </c>
      <c r="C54" s="125">
        <f>D54+AD54</f>
        <v>100</v>
      </c>
      <c r="D54" s="125">
        <f>SUM(E54:AC54)</f>
        <v>100</v>
      </c>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v>100</v>
      </c>
      <c r="AD54" s="128"/>
    </row>
    <row r="55" spans="1:32" s="91" customFormat="1" ht="45" customHeight="1">
      <c r="A55" s="126"/>
      <c r="B55" s="129" t="s">
        <v>134</v>
      </c>
      <c r="C55" s="125">
        <f>D55+AD55</f>
        <v>600</v>
      </c>
      <c r="D55" s="125">
        <f>SUM(E55:AC55)</f>
        <v>600</v>
      </c>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f>400+200</f>
        <v>600</v>
      </c>
      <c r="AD55" s="128"/>
    </row>
    <row r="56" spans="1:32" s="93" customFormat="1" ht="33" customHeight="1">
      <c r="A56" s="81">
        <v>11</v>
      </c>
      <c r="B56" s="133" t="s">
        <v>144</v>
      </c>
      <c r="C56" s="125">
        <f>D56+AD56</f>
        <v>110925</v>
      </c>
      <c r="D56" s="125">
        <f t="shared" ref="D56" si="16">D57+D62+D63+D69</f>
        <v>39040</v>
      </c>
      <c r="E56" s="125">
        <f>E57+E62+E63+E69</f>
        <v>7857</v>
      </c>
      <c r="F56" s="125">
        <f t="shared" ref="F56:S56" si="17">F57+F62+F63+F69</f>
        <v>3769</v>
      </c>
      <c r="G56" s="125">
        <f>G57+G62+G63+G69</f>
        <v>9389</v>
      </c>
      <c r="H56" s="125">
        <f t="shared" si="17"/>
        <v>976</v>
      </c>
      <c r="I56" s="125">
        <f t="shared" si="17"/>
        <v>1277</v>
      </c>
      <c r="J56" s="125">
        <f t="shared" si="17"/>
        <v>678</v>
      </c>
      <c r="K56" s="125">
        <f t="shared" si="17"/>
        <v>871</v>
      </c>
      <c r="L56" s="125">
        <f t="shared" si="17"/>
        <v>639</v>
      </c>
      <c r="M56" s="125">
        <f t="shared" si="17"/>
        <v>907</v>
      </c>
      <c r="N56" s="125">
        <f t="shared" si="17"/>
        <v>328</v>
      </c>
      <c r="O56" s="125">
        <f t="shared" si="17"/>
        <v>1920</v>
      </c>
      <c r="P56" s="125">
        <f t="shared" si="17"/>
        <v>915</v>
      </c>
      <c r="Q56" s="125">
        <f t="shared" si="17"/>
        <v>257</v>
      </c>
      <c r="R56" s="125">
        <f t="shared" si="17"/>
        <v>728</v>
      </c>
      <c r="S56" s="125">
        <f t="shared" si="17"/>
        <v>1386</v>
      </c>
      <c r="T56" s="125"/>
      <c r="U56" s="125"/>
      <c r="V56" s="125"/>
      <c r="W56" s="125"/>
      <c r="X56" s="125"/>
      <c r="Y56" s="125"/>
      <c r="Z56" s="125"/>
      <c r="AA56" s="125"/>
      <c r="AB56" s="125"/>
      <c r="AC56" s="125">
        <f>AC57+AC62+AC63+AC69</f>
        <v>7143</v>
      </c>
      <c r="AD56" s="125">
        <v>71885</v>
      </c>
      <c r="AE56" s="91"/>
      <c r="AF56" s="91"/>
    </row>
    <row r="57" spans="1:32" s="91" customFormat="1" ht="19.5" customHeight="1">
      <c r="A57" s="126" t="s">
        <v>30</v>
      </c>
      <c r="B57" s="127" t="s">
        <v>111</v>
      </c>
      <c r="C57" s="125">
        <f t="shared" si="13"/>
        <v>27108</v>
      </c>
      <c r="D57" s="125">
        <f t="shared" ref="D57:D74" si="18">SUM(E57:AC57)</f>
        <v>27108</v>
      </c>
      <c r="E57" s="128"/>
      <c r="F57" s="128"/>
      <c r="G57" s="128">
        <f>3220+1725+2478+200+1500</f>
        <v>9123</v>
      </c>
      <c r="H57" s="128">
        <f>966+10</f>
        <v>976</v>
      </c>
      <c r="I57" s="128">
        <f>1257+20</f>
        <v>1277</v>
      </c>
      <c r="J57" s="128">
        <f>658+20</f>
        <v>678</v>
      </c>
      <c r="K57" s="128">
        <f>836+40-5</f>
        <v>871</v>
      </c>
      <c r="L57" s="128">
        <f>498+15+126</f>
        <v>639</v>
      </c>
      <c r="M57" s="128">
        <v>907</v>
      </c>
      <c r="N57" s="128">
        <f>118+210</f>
        <v>328</v>
      </c>
      <c r="O57" s="128">
        <f>1040+880</f>
        <v>1920</v>
      </c>
      <c r="P57" s="128">
        <v>915</v>
      </c>
      <c r="Q57" s="128">
        <f>259-2</f>
        <v>257</v>
      </c>
      <c r="R57" s="128">
        <f>518+140+50</f>
        <v>708</v>
      </c>
      <c r="S57" s="128">
        <v>1366</v>
      </c>
      <c r="T57" s="128"/>
      <c r="U57" s="128"/>
      <c r="V57" s="128"/>
      <c r="W57" s="128"/>
      <c r="X57" s="128"/>
      <c r="Y57" s="128"/>
      <c r="Z57" s="128"/>
      <c r="AA57" s="128"/>
      <c r="AB57" s="128"/>
      <c r="AC57" s="128">
        <f>+AC60+AC61</f>
        <v>7143</v>
      </c>
      <c r="AD57" s="128"/>
    </row>
    <row r="58" spans="1:32" s="91" customFormat="1" ht="20.25" customHeight="1">
      <c r="A58" s="126"/>
      <c r="B58" s="127" t="s">
        <v>197</v>
      </c>
      <c r="C58" s="125">
        <f t="shared" si="13"/>
        <v>850</v>
      </c>
      <c r="D58" s="125">
        <f t="shared" si="18"/>
        <v>850</v>
      </c>
      <c r="E58" s="128"/>
      <c r="F58" s="128"/>
      <c r="G58" s="128"/>
      <c r="H58" s="128"/>
      <c r="I58" s="128"/>
      <c r="J58" s="128"/>
      <c r="K58" s="128"/>
      <c r="L58" s="128"/>
      <c r="M58" s="128"/>
      <c r="N58" s="128"/>
      <c r="O58" s="128">
        <v>850</v>
      </c>
      <c r="P58" s="128"/>
      <c r="Q58" s="128"/>
      <c r="R58" s="128"/>
      <c r="S58" s="128"/>
      <c r="T58" s="128"/>
      <c r="U58" s="128"/>
      <c r="V58" s="128"/>
      <c r="W58" s="128"/>
      <c r="X58" s="128"/>
      <c r="Y58" s="128"/>
      <c r="Z58" s="128"/>
      <c r="AA58" s="128"/>
      <c r="AB58" s="128"/>
      <c r="AC58" s="128"/>
      <c r="AD58" s="128"/>
    </row>
    <row r="59" spans="1:32" s="91" customFormat="1" ht="30.75" customHeight="1">
      <c r="A59" s="126"/>
      <c r="B59" s="129" t="s">
        <v>198</v>
      </c>
      <c r="C59" s="125">
        <f t="shared" si="13"/>
        <v>1500</v>
      </c>
      <c r="D59" s="125">
        <f t="shared" si="18"/>
        <v>1500</v>
      </c>
      <c r="E59" s="128"/>
      <c r="F59" s="128"/>
      <c r="G59" s="128">
        <v>1500</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row>
    <row r="60" spans="1:32" s="91" customFormat="1" ht="15.75" customHeight="1">
      <c r="A60" s="126"/>
      <c r="B60" s="127" t="s">
        <v>199</v>
      </c>
      <c r="C60" s="125">
        <f>D60+AD60</f>
        <v>6000</v>
      </c>
      <c r="D60" s="125">
        <f>SUM(E60:AC60)</f>
        <v>6000</v>
      </c>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v>6000</v>
      </c>
      <c r="AD60" s="128"/>
    </row>
    <row r="61" spans="1:32" s="91" customFormat="1" ht="30.75" customHeight="1">
      <c r="A61" s="126"/>
      <c r="B61" s="129" t="s">
        <v>200</v>
      </c>
      <c r="C61" s="125">
        <f>D61+AD61</f>
        <v>1143</v>
      </c>
      <c r="D61" s="125">
        <f>SUM(E61:AC61)</f>
        <v>1143</v>
      </c>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v>1143</v>
      </c>
      <c r="AD61" s="128"/>
    </row>
    <row r="62" spans="1:32" s="94" customFormat="1" ht="15.75" customHeight="1">
      <c r="A62" s="126" t="s">
        <v>31</v>
      </c>
      <c r="B62" s="131" t="s">
        <v>87</v>
      </c>
      <c r="C62" s="125">
        <f t="shared" si="13"/>
        <v>7857</v>
      </c>
      <c r="D62" s="125">
        <f t="shared" si="18"/>
        <v>7857</v>
      </c>
      <c r="E62" s="128">
        <f>5251+2606</f>
        <v>7857</v>
      </c>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91"/>
      <c r="AF62" s="91"/>
    </row>
    <row r="63" spans="1:32" s="91" customFormat="1" ht="15.75" customHeight="1">
      <c r="A63" s="126" t="s">
        <v>32</v>
      </c>
      <c r="B63" s="127" t="s">
        <v>88</v>
      </c>
      <c r="C63" s="125">
        <f t="shared" si="13"/>
        <v>3646</v>
      </c>
      <c r="D63" s="125">
        <f t="shared" si="18"/>
        <v>3646</v>
      </c>
      <c r="E63" s="128"/>
      <c r="F63" s="128">
        <f>SUM(F64:F68)</f>
        <v>3646</v>
      </c>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row>
    <row r="64" spans="1:32" s="91" customFormat="1" ht="15.75" customHeight="1">
      <c r="A64" s="134"/>
      <c r="B64" s="127" t="s">
        <v>113</v>
      </c>
      <c r="C64" s="125">
        <f t="shared" si="13"/>
        <v>764</v>
      </c>
      <c r="D64" s="125">
        <f t="shared" si="18"/>
        <v>764</v>
      </c>
      <c r="E64" s="128"/>
      <c r="F64" s="128">
        <f>544+220</f>
        <v>764</v>
      </c>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row>
    <row r="65" spans="1:32" s="91" customFormat="1" ht="15.75" customHeight="1">
      <c r="A65" s="134"/>
      <c r="B65" s="127" t="s">
        <v>114</v>
      </c>
      <c r="C65" s="125">
        <f t="shared" si="13"/>
        <v>549</v>
      </c>
      <c r="D65" s="125">
        <f t="shared" si="18"/>
        <v>549</v>
      </c>
      <c r="E65" s="128"/>
      <c r="F65" s="128">
        <f>369+180</f>
        <v>549</v>
      </c>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row>
    <row r="66" spans="1:32" s="91" customFormat="1" ht="15.75" customHeight="1">
      <c r="A66" s="134"/>
      <c r="B66" s="127" t="s">
        <v>115</v>
      </c>
      <c r="C66" s="125">
        <f t="shared" si="13"/>
        <v>867</v>
      </c>
      <c r="D66" s="125">
        <f t="shared" si="18"/>
        <v>867</v>
      </c>
      <c r="E66" s="128"/>
      <c r="F66" s="128">
        <f>732+135</f>
        <v>867</v>
      </c>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row>
    <row r="67" spans="1:32" s="91" customFormat="1" ht="15.75" customHeight="1">
      <c r="A67" s="134"/>
      <c r="B67" s="127" t="s">
        <v>116</v>
      </c>
      <c r="C67" s="125">
        <f t="shared" si="13"/>
        <v>958</v>
      </c>
      <c r="D67" s="125">
        <f t="shared" si="18"/>
        <v>958</v>
      </c>
      <c r="E67" s="128"/>
      <c r="F67" s="128">
        <f>713+245</f>
        <v>958</v>
      </c>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row>
    <row r="68" spans="1:32" s="91" customFormat="1" ht="15.75" customHeight="1">
      <c r="A68" s="134"/>
      <c r="B68" s="127" t="s">
        <v>117</v>
      </c>
      <c r="C68" s="125">
        <f t="shared" si="13"/>
        <v>508</v>
      </c>
      <c r="D68" s="125">
        <f t="shared" si="18"/>
        <v>508</v>
      </c>
      <c r="E68" s="128"/>
      <c r="F68" s="128">
        <f>433+75</f>
        <v>508</v>
      </c>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row>
    <row r="69" spans="1:32" s="91" customFormat="1" ht="17.25" customHeight="1">
      <c r="A69" s="126" t="s">
        <v>33</v>
      </c>
      <c r="B69" s="127" t="s">
        <v>89</v>
      </c>
      <c r="C69" s="125">
        <f t="shared" si="13"/>
        <v>429</v>
      </c>
      <c r="D69" s="125">
        <f>SUM(E69:AC69)</f>
        <v>429</v>
      </c>
      <c r="E69" s="128"/>
      <c r="F69" s="128">
        <f t="shared" ref="F69:S69" si="19">SUM(F70:F74)</f>
        <v>123</v>
      </c>
      <c r="G69" s="128">
        <f t="shared" si="19"/>
        <v>266</v>
      </c>
      <c r="H69" s="128"/>
      <c r="I69" s="128"/>
      <c r="J69" s="128"/>
      <c r="K69" s="128"/>
      <c r="L69" s="128"/>
      <c r="M69" s="128"/>
      <c r="N69" s="128"/>
      <c r="O69" s="128"/>
      <c r="P69" s="128"/>
      <c r="Q69" s="128"/>
      <c r="R69" s="128">
        <f t="shared" si="19"/>
        <v>20</v>
      </c>
      <c r="S69" s="128">
        <f t="shared" si="19"/>
        <v>20</v>
      </c>
      <c r="T69" s="128"/>
      <c r="U69" s="128"/>
      <c r="V69" s="128"/>
      <c r="W69" s="128"/>
      <c r="X69" s="128"/>
      <c r="Y69" s="128"/>
      <c r="Z69" s="128"/>
      <c r="AA69" s="128"/>
      <c r="AB69" s="128"/>
      <c r="AC69" s="128"/>
      <c r="AD69" s="128"/>
    </row>
    <row r="70" spans="1:32" s="91" customFormat="1" ht="15.75" customHeight="1">
      <c r="A70" s="126"/>
      <c r="B70" s="127" t="s">
        <v>100</v>
      </c>
      <c r="C70" s="125">
        <f t="shared" si="13"/>
        <v>123</v>
      </c>
      <c r="D70" s="125">
        <f t="shared" si="18"/>
        <v>123</v>
      </c>
      <c r="E70" s="128"/>
      <c r="F70" s="128">
        <f>93+30</f>
        <v>123</v>
      </c>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row>
    <row r="71" spans="1:32" s="91" customFormat="1" ht="15.75" customHeight="1">
      <c r="A71" s="126"/>
      <c r="B71" s="127" t="s">
        <v>90</v>
      </c>
      <c r="C71" s="125">
        <f t="shared" si="13"/>
        <v>226</v>
      </c>
      <c r="D71" s="125">
        <f t="shared" si="18"/>
        <v>226</v>
      </c>
      <c r="E71" s="128"/>
      <c r="F71" s="128"/>
      <c r="G71" s="128">
        <f>129+97</f>
        <v>226</v>
      </c>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row>
    <row r="72" spans="1:32" s="91" customFormat="1" ht="15.75" customHeight="1">
      <c r="A72" s="126"/>
      <c r="B72" s="127" t="s">
        <v>91</v>
      </c>
      <c r="C72" s="125">
        <f t="shared" si="13"/>
        <v>40</v>
      </c>
      <c r="D72" s="125">
        <f t="shared" si="18"/>
        <v>40</v>
      </c>
      <c r="E72" s="128"/>
      <c r="F72" s="128"/>
      <c r="G72" s="128">
        <v>40</v>
      </c>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row>
    <row r="73" spans="1:32" s="91" customFormat="1" ht="15.75" customHeight="1">
      <c r="A73" s="126"/>
      <c r="B73" s="127" t="s">
        <v>92</v>
      </c>
      <c r="C73" s="125">
        <f t="shared" si="13"/>
        <v>20</v>
      </c>
      <c r="D73" s="125">
        <f t="shared" si="18"/>
        <v>20</v>
      </c>
      <c r="E73" s="128"/>
      <c r="F73" s="128"/>
      <c r="G73" s="128"/>
      <c r="H73" s="128"/>
      <c r="I73" s="128"/>
      <c r="J73" s="128"/>
      <c r="K73" s="128"/>
      <c r="L73" s="128"/>
      <c r="M73" s="128"/>
      <c r="N73" s="128"/>
      <c r="O73" s="128"/>
      <c r="P73" s="128"/>
      <c r="Q73" s="128"/>
      <c r="R73" s="128">
        <v>20</v>
      </c>
      <c r="S73" s="128"/>
      <c r="T73" s="128"/>
      <c r="U73" s="128"/>
      <c r="V73" s="128"/>
      <c r="W73" s="128"/>
      <c r="X73" s="128"/>
      <c r="Y73" s="128"/>
      <c r="Z73" s="128"/>
      <c r="AA73" s="128"/>
      <c r="AB73" s="128"/>
      <c r="AC73" s="128"/>
      <c r="AD73" s="128"/>
    </row>
    <row r="74" spans="1:32" s="91" customFormat="1" ht="15.75" customHeight="1">
      <c r="A74" s="126"/>
      <c r="B74" s="127" t="s">
        <v>93</v>
      </c>
      <c r="C74" s="125">
        <f t="shared" si="13"/>
        <v>20</v>
      </c>
      <c r="D74" s="125">
        <f t="shared" si="18"/>
        <v>20</v>
      </c>
      <c r="E74" s="128"/>
      <c r="F74" s="128"/>
      <c r="G74" s="128"/>
      <c r="H74" s="128"/>
      <c r="I74" s="128"/>
      <c r="J74" s="128"/>
      <c r="K74" s="128"/>
      <c r="L74" s="128"/>
      <c r="M74" s="128"/>
      <c r="N74" s="128"/>
      <c r="O74" s="128"/>
      <c r="P74" s="128"/>
      <c r="Q74" s="128"/>
      <c r="R74" s="128"/>
      <c r="S74" s="128">
        <v>20</v>
      </c>
      <c r="T74" s="128"/>
      <c r="U74" s="128"/>
      <c r="V74" s="128"/>
      <c r="W74" s="128"/>
      <c r="X74" s="128"/>
      <c r="Y74" s="128"/>
      <c r="Z74" s="128"/>
      <c r="AA74" s="128"/>
      <c r="AB74" s="128"/>
      <c r="AC74" s="128"/>
      <c r="AD74" s="128"/>
    </row>
    <row r="75" spans="1:32" s="93" customFormat="1" ht="18" customHeight="1">
      <c r="A75" s="81">
        <v>12</v>
      </c>
      <c r="B75" s="124" t="s">
        <v>94</v>
      </c>
      <c r="C75" s="125">
        <f t="shared" si="13"/>
        <v>47164</v>
      </c>
      <c r="D75" s="125">
        <f>SUM(D76:D80)</f>
        <v>45545</v>
      </c>
      <c r="E75" s="125"/>
      <c r="F75" s="125"/>
      <c r="G75" s="125"/>
      <c r="H75" s="125"/>
      <c r="I75" s="125"/>
      <c r="J75" s="125"/>
      <c r="K75" s="125"/>
      <c r="L75" s="125"/>
      <c r="M75" s="125"/>
      <c r="N75" s="125"/>
      <c r="O75" s="125"/>
      <c r="P75" s="125">
        <f>SUM(P76:P80)</f>
        <v>45418</v>
      </c>
      <c r="Q75" s="125">
        <f>SUM(Q76:Q80)</f>
        <v>127</v>
      </c>
      <c r="R75" s="125"/>
      <c r="S75" s="125"/>
      <c r="T75" s="125"/>
      <c r="U75" s="125"/>
      <c r="V75" s="125"/>
      <c r="W75" s="125"/>
      <c r="X75" s="125"/>
      <c r="Y75" s="125"/>
      <c r="Z75" s="125"/>
      <c r="AA75" s="125"/>
      <c r="AB75" s="125"/>
      <c r="AC75" s="125"/>
      <c r="AD75" s="125">
        <f>'[1]Xã, TT 2023'!C41</f>
        <v>1619</v>
      </c>
      <c r="AE75" s="91"/>
      <c r="AF75" s="91"/>
    </row>
    <row r="76" spans="1:32" s="91" customFormat="1" ht="30" customHeight="1">
      <c r="A76" s="126"/>
      <c r="B76" s="129" t="s">
        <v>135</v>
      </c>
      <c r="C76" s="125">
        <f>D76+AD76</f>
        <v>35720</v>
      </c>
      <c r="D76" s="125">
        <f t="shared" ref="D76:D80" si="20">SUM(E76:AC76)</f>
        <v>35720</v>
      </c>
      <c r="E76" s="128"/>
      <c r="F76" s="128"/>
      <c r="G76" s="128"/>
      <c r="H76" s="128"/>
      <c r="I76" s="128"/>
      <c r="J76" s="128"/>
      <c r="K76" s="128"/>
      <c r="L76" s="128"/>
      <c r="M76" s="128"/>
      <c r="N76" s="128"/>
      <c r="O76" s="128"/>
      <c r="P76" s="128">
        <v>35720</v>
      </c>
      <c r="Q76" s="128"/>
      <c r="R76" s="128"/>
      <c r="S76" s="128"/>
      <c r="T76" s="128"/>
      <c r="U76" s="128"/>
      <c r="V76" s="128"/>
      <c r="W76" s="128"/>
      <c r="X76" s="128"/>
      <c r="Y76" s="128"/>
      <c r="Z76" s="128"/>
      <c r="AA76" s="128"/>
      <c r="AB76" s="128"/>
      <c r="AC76" s="128"/>
      <c r="AD76" s="128"/>
    </row>
    <row r="77" spans="1:32" s="91" customFormat="1" ht="15.75" customHeight="1">
      <c r="A77" s="126"/>
      <c r="B77" s="127" t="s">
        <v>42</v>
      </c>
      <c r="C77" s="125">
        <f t="shared" si="13"/>
        <v>6498</v>
      </c>
      <c r="D77" s="125">
        <f t="shared" si="20"/>
        <v>6498</v>
      </c>
      <c r="E77" s="128"/>
      <c r="F77" s="128"/>
      <c r="G77" s="128"/>
      <c r="H77" s="128"/>
      <c r="I77" s="128"/>
      <c r="J77" s="128"/>
      <c r="K77" s="128"/>
      <c r="L77" s="128"/>
      <c r="M77" s="128"/>
      <c r="N77" s="128"/>
      <c r="O77" s="128"/>
      <c r="P77" s="128">
        <v>6498</v>
      </c>
      <c r="Q77" s="128"/>
      <c r="R77" s="128"/>
      <c r="S77" s="128"/>
      <c r="T77" s="128"/>
      <c r="U77" s="128"/>
      <c r="V77" s="128"/>
      <c r="W77" s="128"/>
      <c r="X77" s="128"/>
      <c r="Y77" s="128"/>
      <c r="Z77" s="128"/>
      <c r="AA77" s="128"/>
      <c r="AB77" s="128"/>
      <c r="AC77" s="128"/>
      <c r="AD77" s="128"/>
    </row>
    <row r="78" spans="1:32" s="91" customFormat="1" ht="30" customHeight="1">
      <c r="A78" s="126"/>
      <c r="B78" s="129" t="s">
        <v>121</v>
      </c>
      <c r="C78" s="125">
        <f>D78+AD78</f>
        <v>127</v>
      </c>
      <c r="D78" s="125">
        <f t="shared" si="20"/>
        <v>127</v>
      </c>
      <c r="E78" s="128"/>
      <c r="F78" s="128"/>
      <c r="G78" s="128"/>
      <c r="H78" s="128"/>
      <c r="I78" s="128"/>
      <c r="J78" s="128"/>
      <c r="K78" s="128"/>
      <c r="L78" s="128"/>
      <c r="M78" s="128"/>
      <c r="N78" s="128"/>
      <c r="O78" s="128"/>
      <c r="P78" s="128"/>
      <c r="Q78" s="128">
        <v>127</v>
      </c>
      <c r="R78" s="128"/>
      <c r="S78" s="128"/>
      <c r="T78" s="128"/>
      <c r="U78" s="128"/>
      <c r="V78" s="128"/>
      <c r="W78" s="128"/>
      <c r="X78" s="128"/>
      <c r="Y78" s="128"/>
      <c r="Z78" s="128"/>
      <c r="AA78" s="128"/>
      <c r="AB78" s="128"/>
      <c r="AC78" s="128"/>
      <c r="AD78" s="128"/>
    </row>
    <row r="79" spans="1:32" s="91" customFormat="1" ht="15.75" hidden="1" customHeight="1">
      <c r="A79" s="126"/>
      <c r="B79" s="127" t="s">
        <v>118</v>
      </c>
      <c r="C79" s="125">
        <f>D79+AD79</f>
        <v>0</v>
      </c>
      <c r="D79" s="125">
        <f t="shared" si="20"/>
        <v>0</v>
      </c>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row>
    <row r="80" spans="1:32" s="91" customFormat="1" ht="15.75" customHeight="1">
      <c r="A80" s="126"/>
      <c r="B80" s="127" t="s">
        <v>43</v>
      </c>
      <c r="C80" s="125">
        <f t="shared" si="13"/>
        <v>3200</v>
      </c>
      <c r="D80" s="125">
        <f t="shared" si="20"/>
        <v>3200</v>
      </c>
      <c r="E80" s="128"/>
      <c r="F80" s="128"/>
      <c r="G80" s="128"/>
      <c r="H80" s="128"/>
      <c r="I80" s="128"/>
      <c r="J80" s="128"/>
      <c r="K80" s="128"/>
      <c r="L80" s="128"/>
      <c r="M80" s="128"/>
      <c r="N80" s="128"/>
      <c r="O80" s="128"/>
      <c r="P80" s="128">
        <v>3200</v>
      </c>
      <c r="Q80" s="128"/>
      <c r="R80" s="128"/>
      <c r="S80" s="128"/>
      <c r="T80" s="128"/>
      <c r="U80" s="128"/>
      <c r="V80" s="128"/>
      <c r="W80" s="128"/>
      <c r="X80" s="128"/>
      <c r="Y80" s="128"/>
      <c r="Z80" s="128"/>
      <c r="AA80" s="128"/>
      <c r="AB80" s="128"/>
      <c r="AC80" s="128"/>
      <c r="AD80" s="128"/>
    </row>
    <row r="81" spans="1:34" s="95" customFormat="1" ht="15.75" customHeight="1">
      <c r="A81" s="81">
        <v>13</v>
      </c>
      <c r="B81" s="135" t="s">
        <v>26</v>
      </c>
      <c r="C81" s="125">
        <f>D81+AD81</f>
        <v>18045</v>
      </c>
      <c r="D81" s="125">
        <f>SUM(E81:AC81)</f>
        <v>14572</v>
      </c>
      <c r="E81" s="125"/>
      <c r="F81" s="125">
        <f>F83</f>
        <v>192</v>
      </c>
      <c r="G81" s="125"/>
      <c r="H81" s="125">
        <f>H83</f>
        <v>927</v>
      </c>
      <c r="I81" s="125"/>
      <c r="J81" s="125"/>
      <c r="K81" s="125"/>
      <c r="L81" s="125"/>
      <c r="M81" s="125">
        <f>M83</f>
        <v>449</v>
      </c>
      <c r="N81" s="125">
        <f>N83</f>
        <v>54</v>
      </c>
      <c r="O81" s="125"/>
      <c r="P81" s="125">
        <f>P83</f>
        <v>125</v>
      </c>
      <c r="Q81" s="125">
        <f>Q83</f>
        <v>257</v>
      </c>
      <c r="R81" s="125">
        <f>R83</f>
        <v>202</v>
      </c>
      <c r="S81" s="125">
        <f>S82</f>
        <v>4589</v>
      </c>
      <c r="T81" s="125"/>
      <c r="U81" s="125">
        <f>U83</f>
        <v>737</v>
      </c>
      <c r="V81" s="125"/>
      <c r="W81" s="125"/>
      <c r="X81" s="125"/>
      <c r="Y81" s="125"/>
      <c r="Z81" s="125"/>
      <c r="AA81" s="125"/>
      <c r="AB81" s="125">
        <f>AB83</f>
        <v>192</v>
      </c>
      <c r="AC81" s="125">
        <f>9293-AB83-AC33-U36-200</f>
        <v>6848</v>
      </c>
      <c r="AD81" s="125">
        <f>AD82+AD83</f>
        <v>3473</v>
      </c>
      <c r="AE81" s="91"/>
      <c r="AF81" s="91">
        <f>AC81-AC82-AC84</f>
        <v>2697</v>
      </c>
    </row>
    <row r="82" spans="1:34" s="91" customFormat="1" ht="30" customHeight="1">
      <c r="A82" s="126"/>
      <c r="B82" s="129" t="s">
        <v>299</v>
      </c>
      <c r="C82" s="125">
        <f>D82+AD82</f>
        <v>9890</v>
      </c>
      <c r="D82" s="125">
        <f>SUM(E82:AC82)</f>
        <v>8680</v>
      </c>
      <c r="E82" s="128"/>
      <c r="F82" s="128"/>
      <c r="G82" s="128"/>
      <c r="H82" s="128"/>
      <c r="I82" s="128"/>
      <c r="J82" s="128"/>
      <c r="K82" s="128"/>
      <c r="L82" s="128"/>
      <c r="M82" s="128"/>
      <c r="N82" s="128"/>
      <c r="O82" s="128"/>
      <c r="P82" s="128"/>
      <c r="Q82" s="128"/>
      <c r="R82" s="128"/>
      <c r="S82" s="128">
        <v>4589</v>
      </c>
      <c r="T82" s="128"/>
      <c r="U82" s="128"/>
      <c r="V82" s="128"/>
      <c r="W82" s="128"/>
      <c r="X82" s="128"/>
      <c r="Y82" s="128"/>
      <c r="Z82" s="128"/>
      <c r="AA82" s="128"/>
      <c r="AB82" s="128"/>
      <c r="AC82" s="128">
        <f>4145-54</f>
        <v>4091</v>
      </c>
      <c r="AD82" s="128">
        <v>1210</v>
      </c>
    </row>
    <row r="83" spans="1:34" s="91" customFormat="1" ht="30" customHeight="1">
      <c r="A83" s="126"/>
      <c r="B83" s="129" t="s">
        <v>297</v>
      </c>
      <c r="C83" s="125">
        <f>D83+AD83</f>
        <v>5398</v>
      </c>
      <c r="D83" s="125">
        <f>SUM(E83:AC83)</f>
        <v>3135</v>
      </c>
      <c r="E83" s="128"/>
      <c r="F83" s="128">
        <v>192</v>
      </c>
      <c r="G83" s="128"/>
      <c r="H83" s="128">
        <v>927</v>
      </c>
      <c r="I83" s="128"/>
      <c r="J83" s="128"/>
      <c r="K83" s="128"/>
      <c r="L83" s="128"/>
      <c r="M83" s="128">
        <v>449</v>
      </c>
      <c r="N83" s="128">
        <v>54</v>
      </c>
      <c r="O83" s="128"/>
      <c r="P83" s="128">
        <v>125</v>
      </c>
      <c r="Q83" s="128">
        <v>257</v>
      </c>
      <c r="R83" s="128">
        <v>202</v>
      </c>
      <c r="S83" s="128"/>
      <c r="T83" s="128"/>
      <c r="U83" s="128">
        <v>737</v>
      </c>
      <c r="V83" s="128"/>
      <c r="W83" s="128"/>
      <c r="X83" s="128"/>
      <c r="Y83" s="128"/>
      <c r="Z83" s="128"/>
      <c r="AA83" s="128"/>
      <c r="AB83" s="128">
        <v>192</v>
      </c>
      <c r="AC83" s="128"/>
      <c r="AD83" s="128">
        <v>2263</v>
      </c>
    </row>
    <row r="84" spans="1:34" s="91" customFormat="1" ht="30" customHeight="1">
      <c r="A84" s="126"/>
      <c r="B84" s="129" t="s">
        <v>242</v>
      </c>
      <c r="C84" s="125">
        <f t="shared" ref="C84:C85" si="21">D84+AD84</f>
        <v>60</v>
      </c>
      <c r="D84" s="125">
        <f t="shared" ref="D84" si="22">SUM(E84:AC84)</f>
        <v>60</v>
      </c>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v>60</v>
      </c>
      <c r="AD84" s="128"/>
    </row>
    <row r="85" spans="1:34" s="91" customFormat="1" ht="18.600000000000001" customHeight="1">
      <c r="A85" s="81" t="s">
        <v>95</v>
      </c>
      <c r="B85" s="124" t="s">
        <v>14</v>
      </c>
      <c r="C85" s="125">
        <f t="shared" si="21"/>
        <v>14694</v>
      </c>
      <c r="D85" s="125">
        <f>SUM(E85:AC85)</f>
        <v>12835</v>
      </c>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f>14694-AD85</f>
        <v>12835</v>
      </c>
      <c r="AD85" s="125">
        <f>'[1]Xã, TT 2023'!C42</f>
        <v>1859</v>
      </c>
      <c r="AE85" s="91">
        <v>14694</v>
      </c>
      <c r="AF85" s="91">
        <f>AE85-C85</f>
        <v>0</v>
      </c>
    </row>
    <row r="86" spans="1:34" s="74" customFormat="1" ht="20.25" customHeight="1">
      <c r="A86" s="123" t="s">
        <v>2</v>
      </c>
      <c r="B86" s="136" t="s">
        <v>243</v>
      </c>
      <c r="C86" s="137">
        <f>+D86+AD86</f>
        <v>214108</v>
      </c>
      <c r="D86" s="138">
        <f>SUM(E86:AC86)</f>
        <v>159258</v>
      </c>
      <c r="E86" s="138">
        <f>+E87+E137</f>
        <v>0</v>
      </c>
      <c r="F86" s="138">
        <f t="shared" ref="F86:AD86" si="23">+F87+F137</f>
        <v>3846</v>
      </c>
      <c r="G86" s="138">
        <f t="shared" si="23"/>
        <v>0</v>
      </c>
      <c r="H86" s="138">
        <f t="shared" si="23"/>
        <v>18546</v>
      </c>
      <c r="I86" s="138">
        <f t="shared" si="23"/>
        <v>0</v>
      </c>
      <c r="J86" s="138">
        <f t="shared" si="23"/>
        <v>0</v>
      </c>
      <c r="K86" s="138">
        <f t="shared" si="23"/>
        <v>0</v>
      </c>
      <c r="L86" s="138">
        <f t="shared" si="23"/>
        <v>0</v>
      </c>
      <c r="M86" s="138">
        <f t="shared" si="23"/>
        <v>14964</v>
      </c>
      <c r="N86" s="138">
        <f t="shared" si="23"/>
        <v>1815</v>
      </c>
      <c r="O86" s="138">
        <f t="shared" si="23"/>
        <v>0</v>
      </c>
      <c r="P86" s="138">
        <f t="shared" si="23"/>
        <v>4168</v>
      </c>
      <c r="Q86" s="138">
        <f t="shared" si="23"/>
        <v>5134</v>
      </c>
      <c r="R86" s="138">
        <f t="shared" si="23"/>
        <v>4723</v>
      </c>
      <c r="S86" s="138">
        <f t="shared" si="23"/>
        <v>0</v>
      </c>
      <c r="T86" s="138">
        <f t="shared" si="23"/>
        <v>0</v>
      </c>
      <c r="U86" s="138">
        <f t="shared" si="23"/>
        <v>16124</v>
      </c>
      <c r="V86" s="138">
        <f t="shared" si="23"/>
        <v>0</v>
      </c>
      <c r="W86" s="138">
        <f t="shared" si="23"/>
        <v>0</v>
      </c>
      <c r="X86" s="138">
        <f t="shared" si="23"/>
        <v>0</v>
      </c>
      <c r="Y86" s="138">
        <f t="shared" si="23"/>
        <v>0</v>
      </c>
      <c r="Z86" s="138">
        <f t="shared" si="23"/>
        <v>28</v>
      </c>
      <c r="AA86" s="138">
        <f t="shared" si="23"/>
        <v>0</v>
      </c>
      <c r="AB86" s="138">
        <f t="shared" si="23"/>
        <v>89910</v>
      </c>
      <c r="AC86" s="138">
        <f t="shared" si="23"/>
        <v>0</v>
      </c>
      <c r="AD86" s="138">
        <f t="shared" si="23"/>
        <v>54850</v>
      </c>
      <c r="AE86" s="96"/>
      <c r="AF86" s="96"/>
      <c r="AG86" s="75"/>
      <c r="AH86" s="75"/>
    </row>
    <row r="87" spans="1:34" s="76" customFormat="1">
      <c r="A87" s="139" t="s">
        <v>3</v>
      </c>
      <c r="B87" s="140" t="s">
        <v>244</v>
      </c>
      <c r="C87" s="141">
        <f t="shared" ref="C87:C140" si="24">+D87+AD87</f>
        <v>210875</v>
      </c>
      <c r="D87" s="142">
        <f>SUM(E87:AC87)</f>
        <v>159230</v>
      </c>
      <c r="E87" s="142">
        <f>+E88+E109+E132</f>
        <v>0</v>
      </c>
      <c r="F87" s="142">
        <f>+F88+F109+F132</f>
        <v>3846</v>
      </c>
      <c r="G87" s="142">
        <f t="shared" ref="G87:AD87" si="25">+G88+G109+G132</f>
        <v>0</v>
      </c>
      <c r="H87" s="142">
        <f t="shared" si="25"/>
        <v>18546</v>
      </c>
      <c r="I87" s="142">
        <f t="shared" si="25"/>
        <v>0</v>
      </c>
      <c r="J87" s="142">
        <f t="shared" si="25"/>
        <v>0</v>
      </c>
      <c r="K87" s="142">
        <f t="shared" si="25"/>
        <v>0</v>
      </c>
      <c r="L87" s="142">
        <f t="shared" si="25"/>
        <v>0</v>
      </c>
      <c r="M87" s="142">
        <f t="shared" si="25"/>
        <v>14964</v>
      </c>
      <c r="N87" s="142">
        <f t="shared" si="25"/>
        <v>1815</v>
      </c>
      <c r="O87" s="142">
        <f t="shared" si="25"/>
        <v>0</v>
      </c>
      <c r="P87" s="142">
        <f t="shared" si="25"/>
        <v>4168</v>
      </c>
      <c r="Q87" s="142">
        <f t="shared" si="25"/>
        <v>5134</v>
      </c>
      <c r="R87" s="142">
        <f t="shared" si="25"/>
        <v>4723</v>
      </c>
      <c r="S87" s="142">
        <f t="shared" si="25"/>
        <v>0</v>
      </c>
      <c r="T87" s="142">
        <f t="shared" si="25"/>
        <v>0</v>
      </c>
      <c r="U87" s="142">
        <f t="shared" si="25"/>
        <v>16124</v>
      </c>
      <c r="V87" s="142">
        <f t="shared" si="25"/>
        <v>0</v>
      </c>
      <c r="W87" s="142">
        <f t="shared" si="25"/>
        <v>0</v>
      </c>
      <c r="X87" s="142">
        <f t="shared" si="25"/>
        <v>0</v>
      </c>
      <c r="Y87" s="142">
        <f t="shared" si="25"/>
        <v>0</v>
      </c>
      <c r="Z87" s="142">
        <f t="shared" si="25"/>
        <v>0</v>
      </c>
      <c r="AA87" s="142">
        <f t="shared" si="25"/>
        <v>0</v>
      </c>
      <c r="AB87" s="142">
        <f t="shared" si="25"/>
        <v>89910</v>
      </c>
      <c r="AC87" s="142">
        <f t="shared" si="25"/>
        <v>0</v>
      </c>
      <c r="AD87" s="142">
        <f t="shared" si="25"/>
        <v>51645</v>
      </c>
      <c r="AE87" s="72"/>
      <c r="AF87" s="72"/>
      <c r="AG87" s="77"/>
      <c r="AH87" s="77"/>
    </row>
    <row r="88" spans="1:34" s="76" customFormat="1" ht="30" customHeight="1">
      <c r="A88" s="139">
        <v>1</v>
      </c>
      <c r="B88" s="140" t="s">
        <v>240</v>
      </c>
      <c r="C88" s="141">
        <f t="shared" si="24"/>
        <v>161997</v>
      </c>
      <c r="D88" s="142">
        <f t="shared" ref="D88:D92" si="26">SUM(E88:AC88)</f>
        <v>126463</v>
      </c>
      <c r="E88" s="142">
        <f>+E89+E90</f>
        <v>0</v>
      </c>
      <c r="F88" s="142">
        <f t="shared" ref="F88:AD88" si="27">+F89+F90</f>
        <v>3846</v>
      </c>
      <c r="G88" s="142">
        <f t="shared" si="27"/>
        <v>0</v>
      </c>
      <c r="H88" s="142">
        <f t="shared" si="27"/>
        <v>18316</v>
      </c>
      <c r="I88" s="142">
        <f t="shared" si="27"/>
        <v>0</v>
      </c>
      <c r="J88" s="142">
        <f t="shared" si="27"/>
        <v>0</v>
      </c>
      <c r="K88" s="142">
        <f t="shared" si="27"/>
        <v>0</v>
      </c>
      <c r="L88" s="142">
        <f t="shared" si="27"/>
        <v>0</v>
      </c>
      <c r="M88" s="142">
        <f t="shared" si="27"/>
        <v>0</v>
      </c>
      <c r="N88" s="142">
        <f t="shared" si="27"/>
        <v>0</v>
      </c>
      <c r="O88" s="142">
        <f t="shared" si="27"/>
        <v>0</v>
      </c>
      <c r="P88" s="142">
        <f t="shared" si="27"/>
        <v>0</v>
      </c>
      <c r="Q88" s="142">
        <f t="shared" si="27"/>
        <v>5134</v>
      </c>
      <c r="R88" s="142">
        <f t="shared" si="27"/>
        <v>2993</v>
      </c>
      <c r="S88" s="142">
        <f t="shared" si="27"/>
        <v>0</v>
      </c>
      <c r="T88" s="142">
        <f t="shared" si="27"/>
        <v>0</v>
      </c>
      <c r="U88" s="142">
        <f t="shared" si="27"/>
        <v>12674</v>
      </c>
      <c r="V88" s="142">
        <f t="shared" si="27"/>
        <v>0</v>
      </c>
      <c r="W88" s="142">
        <f t="shared" si="27"/>
        <v>0</v>
      </c>
      <c r="X88" s="142">
        <f t="shared" si="27"/>
        <v>0</v>
      </c>
      <c r="Y88" s="142">
        <f t="shared" si="27"/>
        <v>0</v>
      </c>
      <c r="Z88" s="142">
        <f t="shared" si="27"/>
        <v>0</v>
      </c>
      <c r="AA88" s="142">
        <f t="shared" si="27"/>
        <v>0</v>
      </c>
      <c r="AB88" s="142">
        <f t="shared" si="27"/>
        <v>83500</v>
      </c>
      <c r="AC88" s="142">
        <f t="shared" si="27"/>
        <v>0</v>
      </c>
      <c r="AD88" s="142">
        <f t="shared" si="27"/>
        <v>35534</v>
      </c>
      <c r="AE88" s="72"/>
      <c r="AF88" s="72"/>
      <c r="AG88" s="77"/>
      <c r="AH88" s="77"/>
    </row>
    <row r="89" spans="1:34" s="76" customFormat="1">
      <c r="A89" s="139" t="s">
        <v>245</v>
      </c>
      <c r="B89" s="140" t="s">
        <v>238</v>
      </c>
      <c r="C89" s="141">
        <f t="shared" si="24"/>
        <v>83500</v>
      </c>
      <c r="D89" s="142">
        <f t="shared" si="26"/>
        <v>83500</v>
      </c>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v>83500</v>
      </c>
      <c r="AC89" s="142"/>
      <c r="AD89" s="142"/>
      <c r="AE89" s="72"/>
      <c r="AF89" s="72"/>
      <c r="AG89" s="77"/>
      <c r="AH89" s="77"/>
    </row>
    <row r="90" spans="1:34" s="98" customFormat="1">
      <c r="A90" s="139" t="s">
        <v>246</v>
      </c>
      <c r="B90" s="140" t="s">
        <v>239</v>
      </c>
      <c r="C90" s="141">
        <f t="shared" si="24"/>
        <v>78497</v>
      </c>
      <c r="D90" s="142">
        <f>SUM(E90:AC90)</f>
        <v>42963</v>
      </c>
      <c r="E90" s="142">
        <f>+E91+E94+E96+E98+E101+E102+E103+E105</f>
        <v>0</v>
      </c>
      <c r="F90" s="142">
        <f t="shared" ref="F90:G90" si="28">+F91+F94+F96+F98+F101+F102+F103+F105</f>
        <v>3846</v>
      </c>
      <c r="G90" s="142">
        <f t="shared" si="28"/>
        <v>0</v>
      </c>
      <c r="H90" s="142">
        <f>+H91+H94+H96+H98+H101+H102+H103+H105</f>
        <v>18316</v>
      </c>
      <c r="I90" s="142">
        <f t="shared" ref="I90:AD90" si="29">+I91+I94+I96+I98+I101+I102+I103+I105</f>
        <v>0</v>
      </c>
      <c r="J90" s="142">
        <f t="shared" si="29"/>
        <v>0</v>
      </c>
      <c r="K90" s="142">
        <f t="shared" si="29"/>
        <v>0</v>
      </c>
      <c r="L90" s="142">
        <f t="shared" si="29"/>
        <v>0</v>
      </c>
      <c r="M90" s="142">
        <f t="shared" si="29"/>
        <v>0</v>
      </c>
      <c r="N90" s="142">
        <f t="shared" si="29"/>
        <v>0</v>
      </c>
      <c r="O90" s="142">
        <f t="shared" si="29"/>
        <v>0</v>
      </c>
      <c r="P90" s="142">
        <f t="shared" si="29"/>
        <v>0</v>
      </c>
      <c r="Q90" s="142">
        <f t="shared" si="29"/>
        <v>5134</v>
      </c>
      <c r="R90" s="142">
        <f t="shared" si="29"/>
        <v>2993</v>
      </c>
      <c r="S90" s="142">
        <f t="shared" si="29"/>
        <v>0</v>
      </c>
      <c r="T90" s="142">
        <f t="shared" si="29"/>
        <v>0</v>
      </c>
      <c r="U90" s="142">
        <f t="shared" si="29"/>
        <v>12674</v>
      </c>
      <c r="V90" s="142">
        <f t="shared" si="29"/>
        <v>0</v>
      </c>
      <c r="W90" s="142">
        <f t="shared" si="29"/>
        <v>0</v>
      </c>
      <c r="X90" s="142">
        <f t="shared" si="29"/>
        <v>0</v>
      </c>
      <c r="Y90" s="142">
        <f t="shared" si="29"/>
        <v>0</v>
      </c>
      <c r="Z90" s="142">
        <f t="shared" si="29"/>
        <v>0</v>
      </c>
      <c r="AA90" s="142">
        <f t="shared" si="29"/>
        <v>0</v>
      </c>
      <c r="AB90" s="142">
        <f t="shared" si="29"/>
        <v>0</v>
      </c>
      <c r="AC90" s="142">
        <f t="shared" si="29"/>
        <v>0</v>
      </c>
      <c r="AD90" s="142">
        <f t="shared" si="29"/>
        <v>35534</v>
      </c>
      <c r="AE90" s="72"/>
      <c r="AF90" s="72"/>
      <c r="AG90" s="97"/>
      <c r="AH90" s="97"/>
    </row>
    <row r="91" spans="1:34" s="73" customFormat="1" ht="30.75" customHeight="1">
      <c r="A91" s="139"/>
      <c r="B91" s="140" t="s">
        <v>247</v>
      </c>
      <c r="C91" s="141">
        <f t="shared" si="24"/>
        <v>4318</v>
      </c>
      <c r="D91" s="142">
        <f t="shared" si="26"/>
        <v>4318</v>
      </c>
      <c r="E91" s="142">
        <f>+E92+E93</f>
        <v>0</v>
      </c>
      <c r="F91" s="142">
        <f t="shared" ref="F91:AD91" si="30">+F92+F93</f>
        <v>0</v>
      </c>
      <c r="G91" s="142">
        <f t="shared" si="30"/>
        <v>0</v>
      </c>
      <c r="H91" s="142">
        <f t="shared" si="30"/>
        <v>0</v>
      </c>
      <c r="I91" s="142">
        <f t="shared" si="30"/>
        <v>0</v>
      </c>
      <c r="J91" s="142">
        <f t="shared" si="30"/>
        <v>0</v>
      </c>
      <c r="K91" s="142">
        <f t="shared" si="30"/>
        <v>0</v>
      </c>
      <c r="L91" s="142">
        <f t="shared" si="30"/>
        <v>0</v>
      </c>
      <c r="M91" s="142">
        <f t="shared" si="30"/>
        <v>0</v>
      </c>
      <c r="N91" s="142">
        <f t="shared" si="30"/>
        <v>0</v>
      </c>
      <c r="O91" s="142">
        <f t="shared" si="30"/>
        <v>0</v>
      </c>
      <c r="P91" s="142">
        <f t="shared" si="30"/>
        <v>0</v>
      </c>
      <c r="Q91" s="142">
        <f t="shared" si="30"/>
        <v>4318</v>
      </c>
      <c r="R91" s="142">
        <f t="shared" si="30"/>
        <v>0</v>
      </c>
      <c r="S91" s="142">
        <f t="shared" si="30"/>
        <v>0</v>
      </c>
      <c r="T91" s="142">
        <f t="shared" si="30"/>
        <v>0</v>
      </c>
      <c r="U91" s="142">
        <f t="shared" si="30"/>
        <v>0</v>
      </c>
      <c r="V91" s="142">
        <f t="shared" si="30"/>
        <v>0</v>
      </c>
      <c r="W91" s="142">
        <f t="shared" si="30"/>
        <v>0</v>
      </c>
      <c r="X91" s="142">
        <f t="shared" si="30"/>
        <v>0</v>
      </c>
      <c r="Y91" s="142">
        <f t="shared" si="30"/>
        <v>0</v>
      </c>
      <c r="Z91" s="142">
        <f t="shared" si="30"/>
        <v>0</v>
      </c>
      <c r="AA91" s="142">
        <f t="shared" si="30"/>
        <v>0</v>
      </c>
      <c r="AB91" s="142">
        <f t="shared" si="30"/>
        <v>0</v>
      </c>
      <c r="AC91" s="142">
        <f t="shared" si="30"/>
        <v>0</v>
      </c>
      <c r="AD91" s="142">
        <f t="shared" si="30"/>
        <v>0</v>
      </c>
      <c r="AE91" s="72"/>
      <c r="AF91" s="72"/>
      <c r="AG91" s="99"/>
      <c r="AH91" s="99"/>
    </row>
    <row r="92" spans="1:34" s="73" customFormat="1">
      <c r="A92" s="143"/>
      <c r="B92" s="144" t="s">
        <v>248</v>
      </c>
      <c r="C92" s="141">
        <f t="shared" si="24"/>
        <v>2018</v>
      </c>
      <c r="D92" s="145">
        <f t="shared" si="26"/>
        <v>2018</v>
      </c>
      <c r="E92" s="145"/>
      <c r="F92" s="145"/>
      <c r="G92" s="145"/>
      <c r="H92" s="145"/>
      <c r="I92" s="145"/>
      <c r="J92" s="145"/>
      <c r="K92" s="145"/>
      <c r="L92" s="145"/>
      <c r="M92" s="145"/>
      <c r="N92" s="145"/>
      <c r="O92" s="145"/>
      <c r="P92" s="145"/>
      <c r="Q92" s="145">
        <v>2018</v>
      </c>
      <c r="R92" s="145"/>
      <c r="S92" s="145"/>
      <c r="T92" s="145"/>
      <c r="U92" s="145"/>
      <c r="V92" s="145"/>
      <c r="W92" s="145"/>
      <c r="X92" s="145"/>
      <c r="Y92" s="145"/>
      <c r="Z92" s="145"/>
      <c r="AA92" s="145"/>
      <c r="AB92" s="145"/>
      <c r="AC92" s="145"/>
      <c r="AD92" s="145"/>
      <c r="AE92" s="72"/>
      <c r="AF92" s="72"/>
      <c r="AG92" s="99"/>
      <c r="AH92" s="99"/>
    </row>
    <row r="93" spans="1:34" s="73" customFormat="1" ht="24">
      <c r="A93" s="143"/>
      <c r="B93" s="144" t="s">
        <v>249</v>
      </c>
      <c r="C93" s="141">
        <f t="shared" si="24"/>
        <v>2300</v>
      </c>
      <c r="D93" s="145">
        <f>SUM(E93:AC93)</f>
        <v>2300</v>
      </c>
      <c r="E93" s="145"/>
      <c r="F93" s="145"/>
      <c r="G93" s="145"/>
      <c r="H93" s="145"/>
      <c r="I93" s="145"/>
      <c r="J93" s="145"/>
      <c r="K93" s="145"/>
      <c r="L93" s="145"/>
      <c r="M93" s="145"/>
      <c r="N93" s="145"/>
      <c r="O93" s="145"/>
      <c r="P93" s="145"/>
      <c r="Q93" s="145">
        <v>2300</v>
      </c>
      <c r="R93" s="145"/>
      <c r="S93" s="145"/>
      <c r="T93" s="145"/>
      <c r="U93" s="145"/>
      <c r="V93" s="145"/>
      <c r="W93" s="145"/>
      <c r="X93" s="145"/>
      <c r="Y93" s="145"/>
      <c r="Z93" s="145"/>
      <c r="AA93" s="145"/>
      <c r="AB93" s="145"/>
      <c r="AC93" s="145"/>
      <c r="AD93" s="145"/>
      <c r="AE93" s="72"/>
      <c r="AF93" s="72"/>
      <c r="AG93" s="99"/>
      <c r="AH93" s="99"/>
    </row>
    <row r="94" spans="1:34" ht="54" customHeight="1">
      <c r="A94" s="139"/>
      <c r="B94" s="140" t="s">
        <v>250</v>
      </c>
      <c r="C94" s="141">
        <f t="shared" si="24"/>
        <v>48590</v>
      </c>
      <c r="D94" s="142">
        <f>D95</f>
        <v>18316</v>
      </c>
      <c r="E94" s="142">
        <f t="shared" ref="E94:AD94" si="31">E95</f>
        <v>0</v>
      </c>
      <c r="F94" s="142">
        <f t="shared" si="31"/>
        <v>0</v>
      </c>
      <c r="G94" s="142">
        <f t="shared" si="31"/>
        <v>0</v>
      </c>
      <c r="H94" s="142">
        <f t="shared" si="31"/>
        <v>18316</v>
      </c>
      <c r="I94" s="142">
        <f t="shared" si="31"/>
        <v>0</v>
      </c>
      <c r="J94" s="142">
        <f t="shared" si="31"/>
        <v>0</v>
      </c>
      <c r="K94" s="142">
        <f t="shared" si="31"/>
        <v>0</v>
      </c>
      <c r="L94" s="142">
        <f t="shared" si="31"/>
        <v>0</v>
      </c>
      <c r="M94" s="142">
        <f t="shared" si="31"/>
        <v>0</v>
      </c>
      <c r="N94" s="142">
        <f t="shared" si="31"/>
        <v>0</v>
      </c>
      <c r="O94" s="142">
        <f t="shared" si="31"/>
        <v>0</v>
      </c>
      <c r="P94" s="142">
        <f t="shared" si="31"/>
        <v>0</v>
      </c>
      <c r="Q94" s="142">
        <f t="shared" si="31"/>
        <v>0</v>
      </c>
      <c r="R94" s="142">
        <f t="shared" si="31"/>
        <v>0</v>
      </c>
      <c r="S94" s="142">
        <f t="shared" si="31"/>
        <v>0</v>
      </c>
      <c r="T94" s="142">
        <f t="shared" si="31"/>
        <v>0</v>
      </c>
      <c r="U94" s="142">
        <f t="shared" si="31"/>
        <v>0</v>
      </c>
      <c r="V94" s="142">
        <f t="shared" si="31"/>
        <v>0</v>
      </c>
      <c r="W94" s="142">
        <f t="shared" si="31"/>
        <v>0</v>
      </c>
      <c r="X94" s="142">
        <f t="shared" si="31"/>
        <v>0</v>
      </c>
      <c r="Y94" s="142">
        <f t="shared" si="31"/>
        <v>0</v>
      </c>
      <c r="Z94" s="142">
        <f t="shared" si="31"/>
        <v>0</v>
      </c>
      <c r="AA94" s="142">
        <f t="shared" si="31"/>
        <v>0</v>
      </c>
      <c r="AB94" s="142">
        <f t="shared" si="31"/>
        <v>0</v>
      </c>
      <c r="AC94" s="142">
        <f t="shared" si="31"/>
        <v>0</v>
      </c>
      <c r="AD94" s="142">
        <f t="shared" si="31"/>
        <v>30274</v>
      </c>
    </row>
    <row r="95" spans="1:34" ht="57" customHeight="1">
      <c r="A95" s="143"/>
      <c r="B95" s="144" t="s">
        <v>251</v>
      </c>
      <c r="C95" s="141">
        <f t="shared" si="24"/>
        <v>48590</v>
      </c>
      <c r="D95" s="145">
        <f t="shared" ref="D95:D140" si="32">SUM(E95:AC95)</f>
        <v>18316</v>
      </c>
      <c r="E95" s="145"/>
      <c r="F95" s="145"/>
      <c r="G95" s="145"/>
      <c r="H95" s="145">
        <v>18316</v>
      </c>
      <c r="I95" s="145"/>
      <c r="J95" s="145"/>
      <c r="K95" s="145"/>
      <c r="L95" s="145"/>
      <c r="M95" s="145"/>
      <c r="N95" s="145"/>
      <c r="O95" s="145"/>
      <c r="P95" s="145"/>
      <c r="Q95" s="145"/>
      <c r="R95" s="145"/>
      <c r="S95" s="145"/>
      <c r="T95" s="145"/>
      <c r="U95" s="145"/>
      <c r="V95" s="145"/>
      <c r="W95" s="145"/>
      <c r="X95" s="145"/>
      <c r="Y95" s="145"/>
      <c r="Z95" s="145"/>
      <c r="AA95" s="145"/>
      <c r="AB95" s="145"/>
      <c r="AC95" s="145"/>
      <c r="AD95" s="145">
        <v>30274</v>
      </c>
    </row>
    <row r="96" spans="1:34" ht="57.75" customHeight="1">
      <c r="A96" s="139"/>
      <c r="B96" s="140" t="s">
        <v>252</v>
      </c>
      <c r="C96" s="141">
        <f t="shared" si="24"/>
        <v>5260</v>
      </c>
      <c r="D96" s="142">
        <f t="shared" si="32"/>
        <v>0</v>
      </c>
      <c r="E96" s="142">
        <f t="shared" ref="E96:AC96" si="33">E97</f>
        <v>0</v>
      </c>
      <c r="F96" s="142">
        <f t="shared" si="33"/>
        <v>0</v>
      </c>
      <c r="G96" s="142">
        <f t="shared" si="33"/>
        <v>0</v>
      </c>
      <c r="H96" s="142">
        <f t="shared" si="33"/>
        <v>0</v>
      </c>
      <c r="I96" s="142">
        <f t="shared" si="33"/>
        <v>0</v>
      </c>
      <c r="J96" s="142">
        <f t="shared" si="33"/>
        <v>0</v>
      </c>
      <c r="K96" s="142">
        <f t="shared" si="33"/>
        <v>0</v>
      </c>
      <c r="L96" s="142">
        <f t="shared" si="33"/>
        <v>0</v>
      </c>
      <c r="M96" s="142">
        <f t="shared" si="33"/>
        <v>0</v>
      </c>
      <c r="N96" s="142">
        <f t="shared" si="33"/>
        <v>0</v>
      </c>
      <c r="O96" s="142">
        <f t="shared" si="33"/>
        <v>0</v>
      </c>
      <c r="P96" s="142">
        <f t="shared" si="33"/>
        <v>0</v>
      </c>
      <c r="Q96" s="142">
        <f t="shared" si="33"/>
        <v>0</v>
      </c>
      <c r="R96" s="142">
        <f t="shared" si="33"/>
        <v>0</v>
      </c>
      <c r="S96" s="142">
        <f t="shared" si="33"/>
        <v>0</v>
      </c>
      <c r="T96" s="142">
        <f t="shared" si="33"/>
        <v>0</v>
      </c>
      <c r="U96" s="142">
        <f t="shared" si="33"/>
        <v>0</v>
      </c>
      <c r="V96" s="142">
        <f t="shared" si="33"/>
        <v>0</v>
      </c>
      <c r="W96" s="142">
        <f t="shared" si="33"/>
        <v>0</v>
      </c>
      <c r="X96" s="142">
        <f t="shared" si="33"/>
        <v>0</v>
      </c>
      <c r="Y96" s="142">
        <f t="shared" si="33"/>
        <v>0</v>
      </c>
      <c r="Z96" s="142">
        <f t="shared" si="33"/>
        <v>0</v>
      </c>
      <c r="AA96" s="142">
        <f t="shared" si="33"/>
        <v>0</v>
      </c>
      <c r="AB96" s="142">
        <f t="shared" si="33"/>
        <v>0</v>
      </c>
      <c r="AC96" s="142">
        <f t="shared" si="33"/>
        <v>0</v>
      </c>
      <c r="AD96" s="142">
        <f>AD97</f>
        <v>5260</v>
      </c>
    </row>
    <row r="97" spans="1:32" ht="51" customHeight="1">
      <c r="A97" s="143"/>
      <c r="B97" s="144" t="s">
        <v>253</v>
      </c>
      <c r="C97" s="141">
        <f t="shared" si="24"/>
        <v>5260</v>
      </c>
      <c r="D97" s="145">
        <f t="shared" si="32"/>
        <v>0</v>
      </c>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v>5260</v>
      </c>
    </row>
    <row r="98" spans="1:32" ht="33" customHeight="1">
      <c r="A98" s="139"/>
      <c r="B98" s="140" t="s">
        <v>254</v>
      </c>
      <c r="C98" s="141">
        <f t="shared" si="24"/>
        <v>12674</v>
      </c>
      <c r="D98" s="142">
        <f t="shared" si="32"/>
        <v>12674</v>
      </c>
      <c r="E98" s="142">
        <f t="shared" ref="E98:T98" si="34">+E99+E100</f>
        <v>0</v>
      </c>
      <c r="F98" s="142">
        <f t="shared" si="34"/>
        <v>0</v>
      </c>
      <c r="G98" s="142">
        <f t="shared" si="34"/>
        <v>0</v>
      </c>
      <c r="H98" s="142">
        <f t="shared" si="34"/>
        <v>0</v>
      </c>
      <c r="I98" s="142">
        <f t="shared" si="34"/>
        <v>0</v>
      </c>
      <c r="J98" s="142">
        <f t="shared" si="34"/>
        <v>0</v>
      </c>
      <c r="K98" s="142">
        <f t="shared" si="34"/>
        <v>0</v>
      </c>
      <c r="L98" s="142">
        <f t="shared" si="34"/>
        <v>0</v>
      </c>
      <c r="M98" s="142">
        <f t="shared" si="34"/>
        <v>0</v>
      </c>
      <c r="N98" s="142">
        <f t="shared" si="34"/>
        <v>0</v>
      </c>
      <c r="O98" s="142">
        <f t="shared" si="34"/>
        <v>0</v>
      </c>
      <c r="P98" s="142">
        <f t="shared" si="34"/>
        <v>0</v>
      </c>
      <c r="Q98" s="142">
        <f t="shared" si="34"/>
        <v>0</v>
      </c>
      <c r="R98" s="142">
        <f t="shared" si="34"/>
        <v>0</v>
      </c>
      <c r="S98" s="142">
        <f t="shared" si="34"/>
        <v>0</v>
      </c>
      <c r="T98" s="142">
        <f t="shared" si="34"/>
        <v>0</v>
      </c>
      <c r="U98" s="142">
        <f>+U99+U100</f>
        <v>12674</v>
      </c>
      <c r="V98" s="142">
        <f t="shared" ref="V98:AD98" si="35">+V99+V100</f>
        <v>0</v>
      </c>
      <c r="W98" s="142">
        <f t="shared" si="35"/>
        <v>0</v>
      </c>
      <c r="X98" s="142">
        <f t="shared" si="35"/>
        <v>0</v>
      </c>
      <c r="Y98" s="142">
        <f t="shared" si="35"/>
        <v>0</v>
      </c>
      <c r="Z98" s="142">
        <f t="shared" si="35"/>
        <v>0</v>
      </c>
      <c r="AA98" s="142">
        <f t="shared" si="35"/>
        <v>0</v>
      </c>
      <c r="AB98" s="142">
        <f t="shared" si="35"/>
        <v>0</v>
      </c>
      <c r="AC98" s="142">
        <f t="shared" si="35"/>
        <v>0</v>
      </c>
      <c r="AD98" s="142">
        <f t="shared" si="35"/>
        <v>0</v>
      </c>
    </row>
    <row r="99" spans="1:32" ht="56.25" customHeight="1">
      <c r="A99" s="143"/>
      <c r="B99" s="144" t="s">
        <v>255</v>
      </c>
      <c r="C99" s="141">
        <f t="shared" si="24"/>
        <v>1631</v>
      </c>
      <c r="D99" s="145">
        <f t="shared" si="32"/>
        <v>1631</v>
      </c>
      <c r="E99" s="145"/>
      <c r="F99" s="145"/>
      <c r="G99" s="145"/>
      <c r="H99" s="145"/>
      <c r="I99" s="145"/>
      <c r="J99" s="145"/>
      <c r="K99" s="145"/>
      <c r="L99" s="145"/>
      <c r="M99" s="145"/>
      <c r="N99" s="145"/>
      <c r="O99" s="145"/>
      <c r="P99" s="145"/>
      <c r="Q99" s="145"/>
      <c r="R99" s="145"/>
      <c r="S99" s="145"/>
      <c r="T99" s="145"/>
      <c r="U99" s="145">
        <v>1631</v>
      </c>
      <c r="V99" s="145"/>
      <c r="W99" s="145"/>
      <c r="X99" s="145"/>
      <c r="Y99" s="145"/>
      <c r="Z99" s="145"/>
      <c r="AA99" s="145"/>
      <c r="AB99" s="145"/>
      <c r="AC99" s="145"/>
      <c r="AD99" s="145"/>
    </row>
    <row r="100" spans="1:32" ht="40.5" customHeight="1">
      <c r="A100" s="143"/>
      <c r="B100" s="144" t="s">
        <v>256</v>
      </c>
      <c r="C100" s="141">
        <f t="shared" si="24"/>
        <v>11043</v>
      </c>
      <c r="D100" s="145">
        <f t="shared" si="32"/>
        <v>11043</v>
      </c>
      <c r="E100" s="145"/>
      <c r="F100" s="145"/>
      <c r="G100" s="145"/>
      <c r="H100" s="145"/>
      <c r="I100" s="145"/>
      <c r="J100" s="145"/>
      <c r="K100" s="145"/>
      <c r="L100" s="145"/>
      <c r="M100" s="145"/>
      <c r="N100" s="145"/>
      <c r="O100" s="145"/>
      <c r="P100" s="145"/>
      <c r="Q100" s="145"/>
      <c r="R100" s="145"/>
      <c r="S100" s="145"/>
      <c r="T100" s="145"/>
      <c r="U100" s="145">
        <v>11043</v>
      </c>
      <c r="V100" s="145"/>
      <c r="W100" s="145"/>
      <c r="X100" s="145"/>
      <c r="Y100" s="145"/>
      <c r="Z100" s="145"/>
      <c r="AA100" s="145"/>
      <c r="AB100" s="145"/>
      <c r="AC100" s="145"/>
      <c r="AD100" s="145"/>
    </row>
    <row r="101" spans="1:32" ht="52.5" customHeight="1">
      <c r="A101" s="139"/>
      <c r="B101" s="140" t="s">
        <v>257</v>
      </c>
      <c r="C101" s="141">
        <f t="shared" si="24"/>
        <v>483</v>
      </c>
      <c r="D101" s="142">
        <f t="shared" si="32"/>
        <v>483</v>
      </c>
      <c r="E101" s="142"/>
      <c r="F101" s="146"/>
      <c r="G101" s="142"/>
      <c r="H101" s="142"/>
      <c r="I101" s="142"/>
      <c r="J101" s="142"/>
      <c r="K101" s="142"/>
      <c r="L101" s="142"/>
      <c r="M101" s="142"/>
      <c r="N101" s="142"/>
      <c r="O101" s="142"/>
      <c r="P101" s="142"/>
      <c r="Q101" s="142"/>
      <c r="R101" s="142">
        <v>483</v>
      </c>
      <c r="S101" s="142"/>
      <c r="T101" s="142"/>
      <c r="U101" s="142"/>
      <c r="V101" s="142"/>
      <c r="W101" s="142"/>
      <c r="X101" s="142"/>
      <c r="Y101" s="142"/>
      <c r="Z101" s="142"/>
      <c r="AA101" s="142"/>
      <c r="AB101" s="142"/>
      <c r="AC101" s="142"/>
      <c r="AD101" s="142"/>
    </row>
    <row r="102" spans="1:32" ht="42.75" customHeight="1">
      <c r="A102" s="139"/>
      <c r="B102" s="140" t="s">
        <v>258</v>
      </c>
      <c r="C102" s="141">
        <f t="shared" si="24"/>
        <v>3846</v>
      </c>
      <c r="D102" s="142">
        <f t="shared" si="32"/>
        <v>3846</v>
      </c>
      <c r="E102" s="142"/>
      <c r="F102" s="142">
        <v>3846</v>
      </c>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row>
    <row r="103" spans="1:32" ht="42.75" customHeight="1">
      <c r="A103" s="139"/>
      <c r="B103" s="140" t="s">
        <v>259</v>
      </c>
      <c r="C103" s="141">
        <f t="shared" si="24"/>
        <v>816</v>
      </c>
      <c r="D103" s="142">
        <f t="shared" si="32"/>
        <v>816</v>
      </c>
      <c r="E103" s="142">
        <f t="shared" ref="E103:P103" si="36">E104</f>
        <v>0</v>
      </c>
      <c r="F103" s="142">
        <f>F104</f>
        <v>0</v>
      </c>
      <c r="G103" s="142">
        <f t="shared" si="36"/>
        <v>0</v>
      </c>
      <c r="H103" s="142">
        <f t="shared" si="36"/>
        <v>0</v>
      </c>
      <c r="I103" s="142">
        <f t="shared" si="36"/>
        <v>0</v>
      </c>
      <c r="J103" s="142">
        <f t="shared" si="36"/>
        <v>0</v>
      </c>
      <c r="K103" s="142">
        <f t="shared" si="36"/>
        <v>0</v>
      </c>
      <c r="L103" s="142">
        <f t="shared" si="36"/>
        <v>0</v>
      </c>
      <c r="M103" s="142">
        <f t="shared" si="36"/>
        <v>0</v>
      </c>
      <c r="N103" s="142">
        <f t="shared" si="36"/>
        <v>0</v>
      </c>
      <c r="O103" s="142">
        <f t="shared" si="36"/>
        <v>0</v>
      </c>
      <c r="P103" s="142">
        <f t="shared" si="36"/>
        <v>0</v>
      </c>
      <c r="Q103" s="142">
        <f>Q104</f>
        <v>816</v>
      </c>
      <c r="R103" s="142">
        <f t="shared" ref="R103:AD103" si="37">R104</f>
        <v>0</v>
      </c>
      <c r="S103" s="142">
        <f t="shared" si="37"/>
        <v>0</v>
      </c>
      <c r="T103" s="142">
        <f t="shared" si="37"/>
        <v>0</v>
      </c>
      <c r="U103" s="142">
        <f t="shared" si="37"/>
        <v>0</v>
      </c>
      <c r="V103" s="142">
        <f t="shared" si="37"/>
        <v>0</v>
      </c>
      <c r="W103" s="142">
        <f t="shared" si="37"/>
        <v>0</v>
      </c>
      <c r="X103" s="142">
        <f t="shared" si="37"/>
        <v>0</v>
      </c>
      <c r="Y103" s="142">
        <f t="shared" si="37"/>
        <v>0</v>
      </c>
      <c r="Z103" s="142">
        <f t="shared" si="37"/>
        <v>0</v>
      </c>
      <c r="AA103" s="142">
        <f t="shared" si="37"/>
        <v>0</v>
      </c>
      <c r="AB103" s="142">
        <f t="shared" si="37"/>
        <v>0</v>
      </c>
      <c r="AC103" s="142">
        <f t="shared" si="37"/>
        <v>0</v>
      </c>
      <c r="AD103" s="142">
        <f t="shared" si="37"/>
        <v>0</v>
      </c>
    </row>
    <row r="104" spans="1:32" ht="42.75" customHeight="1">
      <c r="A104" s="143"/>
      <c r="B104" s="144" t="s">
        <v>260</v>
      </c>
      <c r="C104" s="141">
        <f t="shared" si="24"/>
        <v>816</v>
      </c>
      <c r="D104" s="145">
        <f t="shared" si="32"/>
        <v>816</v>
      </c>
      <c r="E104" s="145"/>
      <c r="F104" s="145"/>
      <c r="G104" s="145"/>
      <c r="H104" s="145"/>
      <c r="I104" s="145"/>
      <c r="J104" s="145"/>
      <c r="K104" s="145"/>
      <c r="L104" s="145"/>
      <c r="M104" s="145"/>
      <c r="N104" s="145"/>
      <c r="O104" s="145"/>
      <c r="P104" s="145"/>
      <c r="Q104" s="145">
        <v>816</v>
      </c>
      <c r="R104" s="145"/>
      <c r="S104" s="145"/>
      <c r="T104" s="145"/>
      <c r="U104" s="145"/>
      <c r="V104" s="145"/>
      <c r="W104" s="145"/>
      <c r="X104" s="145"/>
      <c r="Y104" s="145"/>
      <c r="Z104" s="145"/>
      <c r="AA104" s="145"/>
      <c r="AB104" s="145"/>
      <c r="AC104" s="145"/>
      <c r="AD104" s="145"/>
    </row>
    <row r="105" spans="1:32" ht="53.25" customHeight="1">
      <c r="A105" s="139"/>
      <c r="B105" s="140" t="s">
        <v>261</v>
      </c>
      <c r="C105" s="141">
        <f t="shared" si="24"/>
        <v>2510</v>
      </c>
      <c r="D105" s="142">
        <f t="shared" si="32"/>
        <v>2510</v>
      </c>
      <c r="E105" s="142">
        <f t="shared" ref="E105:Q105" si="38">SUM(E106:E108)</f>
        <v>0</v>
      </c>
      <c r="F105" s="142">
        <f t="shared" si="38"/>
        <v>0</v>
      </c>
      <c r="G105" s="142">
        <f t="shared" si="38"/>
        <v>0</v>
      </c>
      <c r="H105" s="142">
        <f t="shared" si="38"/>
        <v>0</v>
      </c>
      <c r="I105" s="142">
        <f t="shared" si="38"/>
        <v>0</v>
      </c>
      <c r="J105" s="142">
        <f t="shared" si="38"/>
        <v>0</v>
      </c>
      <c r="K105" s="142">
        <f t="shared" si="38"/>
        <v>0</v>
      </c>
      <c r="L105" s="142">
        <f t="shared" si="38"/>
        <v>0</v>
      </c>
      <c r="M105" s="142">
        <f t="shared" si="38"/>
        <v>0</v>
      </c>
      <c r="N105" s="142">
        <f t="shared" si="38"/>
        <v>0</v>
      </c>
      <c r="O105" s="142">
        <f t="shared" si="38"/>
        <v>0</v>
      </c>
      <c r="P105" s="142">
        <f t="shared" si="38"/>
        <v>0</v>
      </c>
      <c r="Q105" s="142">
        <f t="shared" si="38"/>
        <v>0</v>
      </c>
      <c r="R105" s="142">
        <f>SUM(R106:R108)</f>
        <v>2510</v>
      </c>
      <c r="S105" s="142">
        <f t="shared" ref="S105:AD105" si="39">SUM(S106:S108)</f>
        <v>0</v>
      </c>
      <c r="T105" s="142">
        <f t="shared" si="39"/>
        <v>0</v>
      </c>
      <c r="U105" s="142">
        <f t="shared" si="39"/>
        <v>0</v>
      </c>
      <c r="V105" s="142">
        <f t="shared" si="39"/>
        <v>0</v>
      </c>
      <c r="W105" s="142">
        <f t="shared" si="39"/>
        <v>0</v>
      </c>
      <c r="X105" s="142">
        <f t="shared" si="39"/>
        <v>0</v>
      </c>
      <c r="Y105" s="142">
        <f t="shared" si="39"/>
        <v>0</v>
      </c>
      <c r="Z105" s="142">
        <f t="shared" si="39"/>
        <v>0</v>
      </c>
      <c r="AA105" s="142">
        <f t="shared" si="39"/>
        <v>0</v>
      </c>
      <c r="AB105" s="142">
        <f t="shared" si="39"/>
        <v>0</v>
      </c>
      <c r="AC105" s="142">
        <f t="shared" si="39"/>
        <v>0</v>
      </c>
      <c r="AD105" s="142">
        <f t="shared" si="39"/>
        <v>0</v>
      </c>
    </row>
    <row r="106" spans="1:32" ht="108">
      <c r="A106" s="143"/>
      <c r="B106" s="144" t="s">
        <v>262</v>
      </c>
      <c r="C106" s="141">
        <f t="shared" si="24"/>
        <v>1527</v>
      </c>
      <c r="D106" s="145">
        <f t="shared" si="32"/>
        <v>1527</v>
      </c>
      <c r="E106" s="145"/>
      <c r="F106" s="145"/>
      <c r="G106" s="145"/>
      <c r="H106" s="145"/>
      <c r="I106" s="145"/>
      <c r="J106" s="145"/>
      <c r="K106" s="145"/>
      <c r="L106" s="145"/>
      <c r="M106" s="145"/>
      <c r="N106" s="145"/>
      <c r="O106" s="145"/>
      <c r="P106" s="145"/>
      <c r="Q106" s="145"/>
      <c r="R106" s="145">
        <v>1527</v>
      </c>
      <c r="S106" s="145"/>
      <c r="T106" s="145"/>
      <c r="U106" s="145"/>
      <c r="V106" s="145"/>
      <c r="W106" s="145"/>
      <c r="X106" s="145"/>
      <c r="Y106" s="145"/>
      <c r="Z106" s="145"/>
      <c r="AA106" s="145"/>
      <c r="AB106" s="145"/>
      <c r="AC106" s="145"/>
      <c r="AD106" s="145"/>
    </row>
    <row r="107" spans="1:32" ht="56.25" customHeight="1">
      <c r="A107" s="143"/>
      <c r="B107" s="144" t="s">
        <v>263</v>
      </c>
      <c r="C107" s="141">
        <f t="shared" si="24"/>
        <v>432</v>
      </c>
      <c r="D107" s="145">
        <f t="shared" si="32"/>
        <v>432</v>
      </c>
      <c r="E107" s="145"/>
      <c r="F107" s="145"/>
      <c r="G107" s="145"/>
      <c r="H107" s="145"/>
      <c r="I107" s="145"/>
      <c r="J107" s="145"/>
      <c r="K107" s="145"/>
      <c r="L107" s="145"/>
      <c r="M107" s="145"/>
      <c r="N107" s="145"/>
      <c r="O107" s="145"/>
      <c r="P107" s="145"/>
      <c r="Q107" s="145"/>
      <c r="R107" s="145">
        <v>432</v>
      </c>
      <c r="S107" s="145"/>
      <c r="T107" s="145"/>
      <c r="U107" s="145"/>
      <c r="V107" s="145"/>
      <c r="W107" s="145"/>
      <c r="X107" s="145"/>
      <c r="Y107" s="145"/>
      <c r="Z107" s="145"/>
      <c r="AA107" s="145"/>
      <c r="AB107" s="145"/>
      <c r="AC107" s="145"/>
      <c r="AD107" s="145"/>
    </row>
    <row r="108" spans="1:32" ht="48" customHeight="1">
      <c r="A108" s="143"/>
      <c r="B108" s="144" t="s">
        <v>264</v>
      </c>
      <c r="C108" s="141">
        <f t="shared" si="24"/>
        <v>551</v>
      </c>
      <c r="D108" s="145">
        <f t="shared" si="32"/>
        <v>551</v>
      </c>
      <c r="E108" s="145"/>
      <c r="F108" s="145"/>
      <c r="G108" s="145"/>
      <c r="H108" s="145"/>
      <c r="I108" s="145"/>
      <c r="J108" s="145"/>
      <c r="K108" s="145"/>
      <c r="L108" s="145"/>
      <c r="M108" s="145"/>
      <c r="N108" s="145"/>
      <c r="O108" s="145"/>
      <c r="P108" s="145"/>
      <c r="Q108" s="145"/>
      <c r="R108" s="145">
        <v>551</v>
      </c>
      <c r="S108" s="145"/>
      <c r="T108" s="145"/>
      <c r="U108" s="145"/>
      <c r="V108" s="145"/>
      <c r="W108" s="145"/>
      <c r="X108" s="145"/>
      <c r="Y108" s="145"/>
      <c r="Z108" s="145"/>
      <c r="AA108" s="145"/>
      <c r="AB108" s="145"/>
      <c r="AC108" s="145"/>
      <c r="AD108" s="145"/>
    </row>
    <row r="109" spans="1:32" s="76" customFormat="1" ht="19.5" customHeight="1">
      <c r="A109" s="139">
        <v>2</v>
      </c>
      <c r="B109" s="140" t="s">
        <v>265</v>
      </c>
      <c r="C109" s="141">
        <f>+D109+AD109</f>
        <v>48468</v>
      </c>
      <c r="D109" s="142">
        <f>+D110+D111</f>
        <v>32537</v>
      </c>
      <c r="E109" s="142">
        <f t="shared" ref="E109:AD109" si="40">+E110+E111</f>
        <v>0</v>
      </c>
      <c r="F109" s="142">
        <f t="shared" si="40"/>
        <v>0</v>
      </c>
      <c r="G109" s="142">
        <f t="shared" si="40"/>
        <v>0</v>
      </c>
      <c r="H109" s="142">
        <f t="shared" si="40"/>
        <v>0</v>
      </c>
      <c r="I109" s="142">
        <f t="shared" si="40"/>
        <v>0</v>
      </c>
      <c r="J109" s="142">
        <f t="shared" si="40"/>
        <v>0</v>
      </c>
      <c r="K109" s="142">
        <f t="shared" si="40"/>
        <v>0</v>
      </c>
      <c r="L109" s="142">
        <f t="shared" si="40"/>
        <v>0</v>
      </c>
      <c r="M109" s="142">
        <f t="shared" si="40"/>
        <v>14964</v>
      </c>
      <c r="N109" s="142">
        <f t="shared" si="40"/>
        <v>1815</v>
      </c>
      <c r="O109" s="142">
        <f t="shared" si="40"/>
        <v>0</v>
      </c>
      <c r="P109" s="142">
        <f t="shared" si="40"/>
        <v>4168</v>
      </c>
      <c r="Q109" s="142">
        <f t="shared" si="40"/>
        <v>0</v>
      </c>
      <c r="R109" s="142">
        <f t="shared" si="40"/>
        <v>1730</v>
      </c>
      <c r="S109" s="142">
        <f t="shared" si="40"/>
        <v>0</v>
      </c>
      <c r="T109" s="142">
        <f t="shared" si="40"/>
        <v>0</v>
      </c>
      <c r="U109" s="142">
        <f t="shared" si="40"/>
        <v>3450</v>
      </c>
      <c r="V109" s="142">
        <f t="shared" si="40"/>
        <v>0</v>
      </c>
      <c r="W109" s="142">
        <f t="shared" si="40"/>
        <v>0</v>
      </c>
      <c r="X109" s="142">
        <f t="shared" si="40"/>
        <v>0</v>
      </c>
      <c r="Y109" s="142">
        <f t="shared" si="40"/>
        <v>0</v>
      </c>
      <c r="Z109" s="142">
        <f t="shared" si="40"/>
        <v>0</v>
      </c>
      <c r="AA109" s="142">
        <f t="shared" si="40"/>
        <v>0</v>
      </c>
      <c r="AB109" s="142">
        <f t="shared" si="40"/>
        <v>6410</v>
      </c>
      <c r="AC109" s="142">
        <f t="shared" si="40"/>
        <v>0</v>
      </c>
      <c r="AD109" s="142">
        <f t="shared" si="40"/>
        <v>15931</v>
      </c>
      <c r="AE109" s="24"/>
      <c r="AF109" s="24"/>
    </row>
    <row r="110" spans="1:32" s="76" customFormat="1" ht="19.5" customHeight="1">
      <c r="A110" s="139" t="s">
        <v>266</v>
      </c>
      <c r="B110" s="140" t="s">
        <v>238</v>
      </c>
      <c r="C110" s="141">
        <f t="shared" si="24"/>
        <v>0</v>
      </c>
      <c r="D110" s="142">
        <f t="shared" si="32"/>
        <v>0</v>
      </c>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1"/>
      <c r="AE110" s="24"/>
      <c r="AF110" s="24"/>
    </row>
    <row r="111" spans="1:32" s="76" customFormat="1" ht="19.5" customHeight="1">
      <c r="A111" s="139" t="s">
        <v>267</v>
      </c>
      <c r="B111" s="140" t="s">
        <v>239</v>
      </c>
      <c r="C111" s="141">
        <f t="shared" si="24"/>
        <v>48468</v>
      </c>
      <c r="D111" s="142">
        <f t="shared" si="32"/>
        <v>32537</v>
      </c>
      <c r="E111" s="142">
        <f>+E112+E115+E116+E119+E125+E126+E129</f>
        <v>0</v>
      </c>
      <c r="F111" s="142">
        <f t="shared" ref="F111:AD111" si="41">+F112+F115+F116+F119+F125+F126+F129</f>
        <v>0</v>
      </c>
      <c r="G111" s="142">
        <f t="shared" si="41"/>
        <v>0</v>
      </c>
      <c r="H111" s="142">
        <f t="shared" si="41"/>
        <v>0</v>
      </c>
      <c r="I111" s="142">
        <f t="shared" si="41"/>
        <v>0</v>
      </c>
      <c r="J111" s="142">
        <f t="shared" si="41"/>
        <v>0</v>
      </c>
      <c r="K111" s="142">
        <f t="shared" si="41"/>
        <v>0</v>
      </c>
      <c r="L111" s="142">
        <f t="shared" si="41"/>
        <v>0</v>
      </c>
      <c r="M111" s="142">
        <f t="shared" si="41"/>
        <v>14964</v>
      </c>
      <c r="N111" s="142">
        <f t="shared" si="41"/>
        <v>1815</v>
      </c>
      <c r="O111" s="142">
        <f t="shared" si="41"/>
        <v>0</v>
      </c>
      <c r="P111" s="142">
        <f t="shared" si="41"/>
        <v>4168</v>
      </c>
      <c r="Q111" s="142">
        <f t="shared" si="41"/>
        <v>0</v>
      </c>
      <c r="R111" s="142">
        <f t="shared" si="41"/>
        <v>1730</v>
      </c>
      <c r="S111" s="142">
        <f t="shared" si="41"/>
        <v>0</v>
      </c>
      <c r="T111" s="142">
        <f t="shared" si="41"/>
        <v>0</v>
      </c>
      <c r="U111" s="142">
        <f t="shared" si="41"/>
        <v>3450</v>
      </c>
      <c r="V111" s="142">
        <f t="shared" si="41"/>
        <v>0</v>
      </c>
      <c r="W111" s="142">
        <f t="shared" si="41"/>
        <v>0</v>
      </c>
      <c r="X111" s="142">
        <f t="shared" si="41"/>
        <v>0</v>
      </c>
      <c r="Y111" s="142">
        <f t="shared" si="41"/>
        <v>0</v>
      </c>
      <c r="Z111" s="142">
        <f t="shared" si="41"/>
        <v>0</v>
      </c>
      <c r="AA111" s="142">
        <f t="shared" si="41"/>
        <v>0</v>
      </c>
      <c r="AB111" s="142">
        <f t="shared" si="41"/>
        <v>6410</v>
      </c>
      <c r="AC111" s="142">
        <f t="shared" si="41"/>
        <v>0</v>
      </c>
      <c r="AD111" s="142">
        <f t="shared" si="41"/>
        <v>15931</v>
      </c>
      <c r="AE111" s="24"/>
      <c r="AF111" s="24"/>
    </row>
    <row r="112" spans="1:32" ht="31.5" customHeight="1">
      <c r="A112" s="139"/>
      <c r="B112" s="140" t="s">
        <v>268</v>
      </c>
      <c r="C112" s="141">
        <f t="shared" si="24"/>
        <v>10714</v>
      </c>
      <c r="D112" s="142">
        <f t="shared" si="32"/>
        <v>10714</v>
      </c>
      <c r="E112" s="142">
        <f>SUM(E113:E114)</f>
        <v>0</v>
      </c>
      <c r="F112" s="142">
        <f t="shared" ref="F112:AD112" si="42">SUM(F113:F114)</f>
        <v>0</v>
      </c>
      <c r="G112" s="142">
        <f t="shared" si="42"/>
        <v>0</v>
      </c>
      <c r="H112" s="142">
        <f t="shared" si="42"/>
        <v>0</v>
      </c>
      <c r="I112" s="142">
        <f t="shared" si="42"/>
        <v>0</v>
      </c>
      <c r="J112" s="142">
        <f t="shared" si="42"/>
        <v>0</v>
      </c>
      <c r="K112" s="142">
        <f t="shared" si="42"/>
        <v>0</v>
      </c>
      <c r="L112" s="142">
        <f t="shared" si="42"/>
        <v>0</v>
      </c>
      <c r="M112" s="142">
        <f t="shared" si="42"/>
        <v>4304</v>
      </c>
      <c r="N112" s="142">
        <f t="shared" si="42"/>
        <v>0</v>
      </c>
      <c r="O112" s="142">
        <f t="shared" si="42"/>
        <v>0</v>
      </c>
      <c r="P112" s="142">
        <f t="shared" si="42"/>
        <v>0</v>
      </c>
      <c r="Q112" s="142">
        <f t="shared" si="42"/>
        <v>0</v>
      </c>
      <c r="R112" s="142">
        <f t="shared" si="42"/>
        <v>0</v>
      </c>
      <c r="S112" s="142">
        <f t="shared" si="42"/>
        <v>0</v>
      </c>
      <c r="T112" s="142">
        <f t="shared" si="42"/>
        <v>0</v>
      </c>
      <c r="U112" s="142">
        <f t="shared" si="42"/>
        <v>0</v>
      </c>
      <c r="V112" s="142">
        <f t="shared" si="42"/>
        <v>0</v>
      </c>
      <c r="W112" s="142">
        <f t="shared" si="42"/>
        <v>0</v>
      </c>
      <c r="X112" s="142">
        <f t="shared" si="42"/>
        <v>0</v>
      </c>
      <c r="Y112" s="142">
        <f t="shared" si="42"/>
        <v>0</v>
      </c>
      <c r="Z112" s="142">
        <f t="shared" si="42"/>
        <v>0</v>
      </c>
      <c r="AA112" s="142">
        <f t="shared" si="42"/>
        <v>0</v>
      </c>
      <c r="AB112" s="142">
        <f t="shared" si="42"/>
        <v>6410</v>
      </c>
      <c r="AC112" s="142">
        <f t="shared" si="42"/>
        <v>0</v>
      </c>
      <c r="AD112" s="142">
        <f t="shared" si="42"/>
        <v>0</v>
      </c>
    </row>
    <row r="113" spans="1:30" ht="31.5" customHeight="1">
      <c r="A113" s="143"/>
      <c r="B113" s="144" t="s">
        <v>269</v>
      </c>
      <c r="C113" s="141">
        <f t="shared" si="24"/>
        <v>4304</v>
      </c>
      <c r="D113" s="145">
        <f t="shared" si="32"/>
        <v>4304</v>
      </c>
      <c r="E113" s="145"/>
      <c r="F113" s="145"/>
      <c r="G113" s="145"/>
      <c r="H113" s="145"/>
      <c r="I113" s="145"/>
      <c r="J113" s="145"/>
      <c r="K113" s="145"/>
      <c r="L113" s="145"/>
      <c r="M113" s="145">
        <v>4304</v>
      </c>
      <c r="N113" s="145"/>
      <c r="O113" s="145"/>
      <c r="P113" s="145"/>
      <c r="Q113" s="145"/>
      <c r="R113" s="145"/>
      <c r="S113" s="145"/>
      <c r="T113" s="145"/>
      <c r="U113" s="145"/>
      <c r="V113" s="145"/>
      <c r="W113" s="145"/>
      <c r="X113" s="145"/>
      <c r="Y113" s="145"/>
      <c r="Z113" s="145"/>
      <c r="AA113" s="145"/>
      <c r="AB113" s="145"/>
      <c r="AC113" s="145"/>
      <c r="AD113" s="145"/>
    </row>
    <row r="114" spans="1:30" ht="31.5" customHeight="1">
      <c r="A114" s="143"/>
      <c r="B114" s="144" t="s">
        <v>270</v>
      </c>
      <c r="C114" s="141">
        <f t="shared" si="24"/>
        <v>6410</v>
      </c>
      <c r="D114" s="145">
        <f t="shared" si="32"/>
        <v>6410</v>
      </c>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v>6410</v>
      </c>
      <c r="AC114" s="145"/>
      <c r="AD114" s="145"/>
    </row>
    <row r="115" spans="1:30" ht="31.5" customHeight="1">
      <c r="A115" s="139"/>
      <c r="B115" s="140" t="s">
        <v>271</v>
      </c>
      <c r="C115" s="141">
        <f t="shared" si="24"/>
        <v>11123</v>
      </c>
      <c r="D115" s="142">
        <f t="shared" si="32"/>
        <v>0</v>
      </c>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1">
        <v>11123</v>
      </c>
    </row>
    <row r="116" spans="1:30" ht="31.5" customHeight="1">
      <c r="A116" s="139"/>
      <c r="B116" s="140" t="s">
        <v>272</v>
      </c>
      <c r="C116" s="141">
        <f t="shared" si="24"/>
        <v>6623</v>
      </c>
      <c r="D116" s="142">
        <f t="shared" si="32"/>
        <v>1815</v>
      </c>
      <c r="E116" s="142">
        <f>+E117+E118</f>
        <v>0</v>
      </c>
      <c r="F116" s="142">
        <f t="shared" ref="F116:AD116" si="43">+F117+F118</f>
        <v>0</v>
      </c>
      <c r="G116" s="142">
        <f t="shared" si="43"/>
        <v>0</v>
      </c>
      <c r="H116" s="142">
        <f t="shared" si="43"/>
        <v>0</v>
      </c>
      <c r="I116" s="142">
        <f t="shared" si="43"/>
        <v>0</v>
      </c>
      <c r="J116" s="142">
        <f t="shared" si="43"/>
        <v>0</v>
      </c>
      <c r="K116" s="142">
        <f t="shared" si="43"/>
        <v>0</v>
      </c>
      <c r="L116" s="142">
        <f t="shared" si="43"/>
        <v>0</v>
      </c>
      <c r="M116" s="142">
        <f t="shared" si="43"/>
        <v>0</v>
      </c>
      <c r="N116" s="142">
        <f t="shared" si="43"/>
        <v>1815</v>
      </c>
      <c r="O116" s="142">
        <f t="shared" si="43"/>
        <v>0</v>
      </c>
      <c r="P116" s="142">
        <f t="shared" si="43"/>
        <v>0</v>
      </c>
      <c r="Q116" s="142">
        <f t="shared" si="43"/>
        <v>0</v>
      </c>
      <c r="R116" s="142">
        <f t="shared" si="43"/>
        <v>0</v>
      </c>
      <c r="S116" s="142">
        <f t="shared" si="43"/>
        <v>0</v>
      </c>
      <c r="T116" s="142">
        <f t="shared" si="43"/>
        <v>0</v>
      </c>
      <c r="U116" s="142">
        <f t="shared" si="43"/>
        <v>0</v>
      </c>
      <c r="V116" s="142">
        <f t="shared" si="43"/>
        <v>0</v>
      </c>
      <c r="W116" s="142">
        <f t="shared" si="43"/>
        <v>0</v>
      </c>
      <c r="X116" s="142">
        <f t="shared" si="43"/>
        <v>0</v>
      </c>
      <c r="Y116" s="142">
        <f t="shared" si="43"/>
        <v>0</v>
      </c>
      <c r="Z116" s="142">
        <f t="shared" si="43"/>
        <v>0</v>
      </c>
      <c r="AA116" s="142">
        <f t="shared" si="43"/>
        <v>0</v>
      </c>
      <c r="AB116" s="142">
        <f t="shared" si="43"/>
        <v>0</v>
      </c>
      <c r="AC116" s="142">
        <f t="shared" si="43"/>
        <v>0</v>
      </c>
      <c r="AD116" s="142">
        <f t="shared" si="43"/>
        <v>4808</v>
      </c>
    </row>
    <row r="117" spans="1:30" ht="31.5" customHeight="1">
      <c r="A117" s="143"/>
      <c r="B117" s="144" t="s">
        <v>273</v>
      </c>
      <c r="C117" s="141">
        <f t="shared" si="24"/>
        <v>4808</v>
      </c>
      <c r="D117" s="145">
        <f>SUM(E117:AC117)</f>
        <v>0</v>
      </c>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v>4808</v>
      </c>
    </row>
    <row r="118" spans="1:30" ht="31.5" customHeight="1">
      <c r="A118" s="143"/>
      <c r="B118" s="144" t="s">
        <v>274</v>
      </c>
      <c r="C118" s="141">
        <f t="shared" si="24"/>
        <v>1815</v>
      </c>
      <c r="D118" s="145">
        <f t="shared" si="32"/>
        <v>1815</v>
      </c>
      <c r="E118" s="145"/>
      <c r="F118" s="145"/>
      <c r="G118" s="145"/>
      <c r="H118" s="145"/>
      <c r="I118" s="145"/>
      <c r="J118" s="145"/>
      <c r="K118" s="145"/>
      <c r="L118" s="145"/>
      <c r="M118" s="145"/>
      <c r="N118" s="145">
        <v>1815</v>
      </c>
      <c r="O118" s="145"/>
      <c r="P118" s="145"/>
      <c r="Q118" s="145"/>
      <c r="R118" s="145"/>
      <c r="S118" s="145"/>
      <c r="T118" s="145"/>
      <c r="U118" s="145"/>
      <c r="V118" s="145"/>
      <c r="W118" s="145"/>
      <c r="X118" s="145"/>
      <c r="Y118" s="145"/>
      <c r="Z118" s="145"/>
      <c r="AA118" s="145"/>
      <c r="AB118" s="145"/>
      <c r="AC118" s="145"/>
      <c r="AD118" s="145"/>
    </row>
    <row r="119" spans="1:30" ht="31.5" customHeight="1">
      <c r="A119" s="139"/>
      <c r="B119" s="140" t="s">
        <v>275</v>
      </c>
      <c r="C119" s="141">
        <f>+D119+AD119</f>
        <v>5566</v>
      </c>
      <c r="D119" s="142">
        <f t="shared" si="32"/>
        <v>5566</v>
      </c>
      <c r="E119" s="142">
        <f>+E120+E123+E124</f>
        <v>0</v>
      </c>
      <c r="F119" s="142">
        <f t="shared" ref="F119:AD119" si="44">+F120+F123+F124</f>
        <v>0</v>
      </c>
      <c r="G119" s="142">
        <f t="shared" si="44"/>
        <v>0</v>
      </c>
      <c r="H119" s="142">
        <f t="shared" si="44"/>
        <v>0</v>
      </c>
      <c r="I119" s="142">
        <f t="shared" si="44"/>
        <v>0</v>
      </c>
      <c r="J119" s="142">
        <f t="shared" si="44"/>
        <v>0</v>
      </c>
      <c r="K119" s="142">
        <f t="shared" si="44"/>
        <v>0</v>
      </c>
      <c r="L119" s="142">
        <f t="shared" si="44"/>
        <v>0</v>
      </c>
      <c r="M119" s="142">
        <f t="shared" si="44"/>
        <v>0</v>
      </c>
      <c r="N119" s="142">
        <f t="shared" si="44"/>
        <v>0</v>
      </c>
      <c r="O119" s="142">
        <f t="shared" si="44"/>
        <v>0</v>
      </c>
      <c r="P119" s="142">
        <f t="shared" si="44"/>
        <v>2116</v>
      </c>
      <c r="Q119" s="142">
        <f t="shared" si="44"/>
        <v>0</v>
      </c>
      <c r="R119" s="142">
        <f t="shared" si="44"/>
        <v>0</v>
      </c>
      <c r="S119" s="142">
        <f t="shared" si="44"/>
        <v>0</v>
      </c>
      <c r="T119" s="142">
        <f t="shared" si="44"/>
        <v>0</v>
      </c>
      <c r="U119" s="142">
        <f t="shared" si="44"/>
        <v>3450</v>
      </c>
      <c r="V119" s="142">
        <f t="shared" si="44"/>
        <v>0</v>
      </c>
      <c r="W119" s="142">
        <f t="shared" si="44"/>
        <v>0</v>
      </c>
      <c r="X119" s="142">
        <f t="shared" si="44"/>
        <v>0</v>
      </c>
      <c r="Y119" s="142">
        <f t="shared" si="44"/>
        <v>0</v>
      </c>
      <c r="Z119" s="142">
        <f t="shared" si="44"/>
        <v>0</v>
      </c>
      <c r="AA119" s="142">
        <f t="shared" si="44"/>
        <v>0</v>
      </c>
      <c r="AB119" s="142">
        <f t="shared" si="44"/>
        <v>0</v>
      </c>
      <c r="AC119" s="142">
        <f t="shared" si="44"/>
        <v>0</v>
      </c>
      <c r="AD119" s="142">
        <f t="shared" si="44"/>
        <v>0</v>
      </c>
    </row>
    <row r="120" spans="1:30" ht="39.75" customHeight="1">
      <c r="A120" s="143"/>
      <c r="B120" s="144" t="s">
        <v>276</v>
      </c>
      <c r="C120" s="141">
        <f>+D120+AD120</f>
        <v>3450</v>
      </c>
      <c r="D120" s="145">
        <f>SUM(E120:AC120)</f>
        <v>3450</v>
      </c>
      <c r="E120" s="145">
        <f>+E121+E122</f>
        <v>0</v>
      </c>
      <c r="F120" s="145">
        <f t="shared" ref="F120:AD120" si="45">+F121+F122</f>
        <v>0</v>
      </c>
      <c r="G120" s="145">
        <f t="shared" si="45"/>
        <v>0</v>
      </c>
      <c r="H120" s="145">
        <f t="shared" si="45"/>
        <v>0</v>
      </c>
      <c r="I120" s="145">
        <f t="shared" si="45"/>
        <v>0</v>
      </c>
      <c r="J120" s="145">
        <f t="shared" si="45"/>
        <v>0</v>
      </c>
      <c r="K120" s="145">
        <f t="shared" si="45"/>
        <v>0</v>
      </c>
      <c r="L120" s="145">
        <f t="shared" si="45"/>
        <v>0</v>
      </c>
      <c r="M120" s="145">
        <f t="shared" si="45"/>
        <v>0</v>
      </c>
      <c r="N120" s="145">
        <f t="shared" si="45"/>
        <v>0</v>
      </c>
      <c r="O120" s="145">
        <f t="shared" si="45"/>
        <v>0</v>
      </c>
      <c r="P120" s="145">
        <f t="shared" si="45"/>
        <v>0</v>
      </c>
      <c r="Q120" s="145">
        <f t="shared" si="45"/>
        <v>0</v>
      </c>
      <c r="R120" s="145">
        <f t="shared" si="45"/>
        <v>0</v>
      </c>
      <c r="S120" s="145">
        <f t="shared" si="45"/>
        <v>0</v>
      </c>
      <c r="T120" s="145">
        <f t="shared" si="45"/>
        <v>0</v>
      </c>
      <c r="U120" s="145">
        <f>+U121+U122</f>
        <v>3450</v>
      </c>
      <c r="V120" s="145">
        <f t="shared" si="45"/>
        <v>0</v>
      </c>
      <c r="W120" s="145">
        <f t="shared" si="45"/>
        <v>0</v>
      </c>
      <c r="X120" s="145">
        <f t="shared" si="45"/>
        <v>0</v>
      </c>
      <c r="Y120" s="145">
        <f t="shared" si="45"/>
        <v>0</v>
      </c>
      <c r="Z120" s="145">
        <f t="shared" si="45"/>
        <v>0</v>
      </c>
      <c r="AA120" s="145">
        <f t="shared" si="45"/>
        <v>0</v>
      </c>
      <c r="AB120" s="145">
        <f t="shared" si="45"/>
        <v>0</v>
      </c>
      <c r="AC120" s="145">
        <f t="shared" si="45"/>
        <v>0</v>
      </c>
      <c r="AD120" s="145">
        <f t="shared" si="45"/>
        <v>0</v>
      </c>
    </row>
    <row r="121" spans="1:30" ht="27.75" customHeight="1">
      <c r="A121" s="143"/>
      <c r="B121" s="144" t="s">
        <v>277</v>
      </c>
      <c r="C121" s="141">
        <f t="shared" si="24"/>
        <v>1816</v>
      </c>
      <c r="D121" s="145">
        <f t="shared" si="32"/>
        <v>1816</v>
      </c>
      <c r="E121" s="145"/>
      <c r="F121" s="145"/>
      <c r="G121" s="145"/>
      <c r="H121" s="145"/>
      <c r="I121" s="145"/>
      <c r="J121" s="145"/>
      <c r="K121" s="145"/>
      <c r="L121" s="145"/>
      <c r="M121" s="145"/>
      <c r="N121" s="145"/>
      <c r="O121" s="145"/>
      <c r="P121" s="145"/>
      <c r="Q121" s="145"/>
      <c r="R121" s="145"/>
      <c r="S121" s="145"/>
      <c r="T121" s="145"/>
      <c r="U121" s="145">
        <v>1816</v>
      </c>
      <c r="V121" s="145"/>
      <c r="W121" s="145"/>
      <c r="X121" s="145"/>
      <c r="Y121" s="145"/>
      <c r="Z121" s="145"/>
      <c r="AA121" s="145"/>
      <c r="AB121" s="145"/>
      <c r="AC121" s="145"/>
      <c r="AD121" s="145"/>
    </row>
    <row r="122" spans="1:30" ht="27.75" customHeight="1">
      <c r="A122" s="143"/>
      <c r="B122" s="144" t="s">
        <v>278</v>
      </c>
      <c r="C122" s="141">
        <f t="shared" si="24"/>
        <v>1634</v>
      </c>
      <c r="D122" s="145">
        <f t="shared" si="32"/>
        <v>1634</v>
      </c>
      <c r="E122" s="145"/>
      <c r="F122" s="145"/>
      <c r="G122" s="145"/>
      <c r="H122" s="145"/>
      <c r="I122" s="145"/>
      <c r="J122" s="145"/>
      <c r="K122" s="145"/>
      <c r="L122" s="145"/>
      <c r="M122" s="145"/>
      <c r="N122" s="145"/>
      <c r="O122" s="145"/>
      <c r="P122" s="145"/>
      <c r="Q122" s="145"/>
      <c r="R122" s="145"/>
      <c r="S122" s="145"/>
      <c r="T122" s="145"/>
      <c r="U122" s="145">
        <v>1634</v>
      </c>
      <c r="V122" s="145"/>
      <c r="W122" s="145"/>
      <c r="X122" s="145"/>
      <c r="Y122" s="145"/>
      <c r="Z122" s="145"/>
      <c r="AA122" s="145"/>
      <c r="AB122" s="145"/>
      <c r="AC122" s="145"/>
      <c r="AD122" s="145"/>
    </row>
    <row r="123" spans="1:30" ht="27.75" customHeight="1">
      <c r="A123" s="143"/>
      <c r="B123" s="144" t="s">
        <v>279</v>
      </c>
      <c r="C123" s="141">
        <f t="shared" si="24"/>
        <v>979</v>
      </c>
      <c r="D123" s="145">
        <f t="shared" si="32"/>
        <v>979</v>
      </c>
      <c r="E123" s="145"/>
      <c r="F123" s="145"/>
      <c r="G123" s="145"/>
      <c r="H123" s="145"/>
      <c r="I123" s="145"/>
      <c r="J123" s="145"/>
      <c r="K123" s="145"/>
      <c r="L123" s="145"/>
      <c r="M123" s="145"/>
      <c r="N123" s="145"/>
      <c r="O123" s="145"/>
      <c r="P123" s="145">
        <v>979</v>
      </c>
      <c r="Q123" s="145"/>
      <c r="R123" s="145"/>
      <c r="S123" s="145"/>
      <c r="T123" s="145"/>
      <c r="U123" s="145"/>
      <c r="V123" s="145"/>
      <c r="W123" s="145"/>
      <c r="X123" s="145"/>
      <c r="Y123" s="145"/>
      <c r="Z123" s="145"/>
      <c r="AA123" s="145"/>
      <c r="AB123" s="145"/>
      <c r="AC123" s="145"/>
      <c r="AD123" s="145"/>
    </row>
    <row r="124" spans="1:30" ht="27.75" customHeight="1">
      <c r="A124" s="143"/>
      <c r="B124" s="144" t="s">
        <v>280</v>
      </c>
      <c r="C124" s="141">
        <f t="shared" si="24"/>
        <v>1137</v>
      </c>
      <c r="D124" s="145">
        <f t="shared" si="32"/>
        <v>1137</v>
      </c>
      <c r="E124" s="145"/>
      <c r="F124" s="145"/>
      <c r="G124" s="145"/>
      <c r="H124" s="145"/>
      <c r="I124" s="145"/>
      <c r="J124" s="145"/>
      <c r="K124" s="145"/>
      <c r="L124" s="145"/>
      <c r="M124" s="145"/>
      <c r="N124" s="145"/>
      <c r="O124" s="145"/>
      <c r="P124" s="145">
        <v>1137</v>
      </c>
      <c r="Q124" s="145"/>
      <c r="R124" s="145"/>
      <c r="S124" s="145"/>
      <c r="T124" s="145"/>
      <c r="U124" s="145"/>
      <c r="V124" s="145"/>
      <c r="W124" s="145"/>
      <c r="X124" s="145"/>
      <c r="Y124" s="145"/>
      <c r="Z124" s="145"/>
      <c r="AA124" s="145"/>
      <c r="AB124" s="145"/>
      <c r="AC124" s="145"/>
      <c r="AD124" s="145"/>
    </row>
    <row r="125" spans="1:30" ht="42.75" customHeight="1">
      <c r="A125" s="139"/>
      <c r="B125" s="140" t="s">
        <v>281</v>
      </c>
      <c r="C125" s="141">
        <f t="shared" si="24"/>
        <v>10660</v>
      </c>
      <c r="D125" s="142">
        <f>SUM(E125:AC125)</f>
        <v>10660</v>
      </c>
      <c r="E125" s="142"/>
      <c r="F125" s="142"/>
      <c r="G125" s="142"/>
      <c r="H125" s="142"/>
      <c r="I125" s="142"/>
      <c r="J125" s="142"/>
      <c r="K125" s="142"/>
      <c r="L125" s="142"/>
      <c r="M125" s="142">
        <v>10660</v>
      </c>
      <c r="N125" s="142"/>
      <c r="O125" s="142"/>
      <c r="P125" s="142"/>
      <c r="Q125" s="142"/>
      <c r="R125" s="142"/>
      <c r="S125" s="142"/>
      <c r="T125" s="142"/>
      <c r="U125" s="142"/>
      <c r="V125" s="142"/>
      <c r="W125" s="142"/>
      <c r="X125" s="142"/>
      <c r="Y125" s="142"/>
      <c r="Z125" s="142"/>
      <c r="AA125" s="142"/>
      <c r="AB125" s="142"/>
      <c r="AC125" s="142"/>
      <c r="AD125" s="142"/>
    </row>
    <row r="126" spans="1:30" ht="30" customHeight="1">
      <c r="A126" s="139"/>
      <c r="B126" s="140" t="s">
        <v>282</v>
      </c>
      <c r="C126" s="141">
        <f t="shared" si="24"/>
        <v>2207</v>
      </c>
      <c r="D126" s="142">
        <f t="shared" si="32"/>
        <v>2207</v>
      </c>
      <c r="E126" s="142">
        <f>+E127+E128</f>
        <v>0</v>
      </c>
      <c r="F126" s="142">
        <f t="shared" ref="F126:AD126" si="46">+F127+F128</f>
        <v>0</v>
      </c>
      <c r="G126" s="142">
        <f t="shared" si="46"/>
        <v>0</v>
      </c>
      <c r="H126" s="142">
        <f t="shared" si="46"/>
        <v>0</v>
      </c>
      <c r="I126" s="142">
        <f t="shared" si="46"/>
        <v>0</v>
      </c>
      <c r="J126" s="142">
        <f t="shared" si="46"/>
        <v>0</v>
      </c>
      <c r="K126" s="142">
        <f t="shared" si="46"/>
        <v>0</v>
      </c>
      <c r="L126" s="142">
        <f t="shared" si="46"/>
        <v>0</v>
      </c>
      <c r="M126" s="142">
        <f t="shared" si="46"/>
        <v>0</v>
      </c>
      <c r="N126" s="142">
        <f t="shared" si="46"/>
        <v>0</v>
      </c>
      <c r="O126" s="142">
        <f t="shared" si="46"/>
        <v>0</v>
      </c>
      <c r="P126" s="142">
        <f t="shared" si="46"/>
        <v>477</v>
      </c>
      <c r="Q126" s="142">
        <f t="shared" si="46"/>
        <v>0</v>
      </c>
      <c r="R126" s="142">
        <f t="shared" si="46"/>
        <v>1730</v>
      </c>
      <c r="S126" s="142">
        <f t="shared" si="46"/>
        <v>0</v>
      </c>
      <c r="T126" s="142">
        <f t="shared" si="46"/>
        <v>0</v>
      </c>
      <c r="U126" s="142">
        <f t="shared" si="46"/>
        <v>0</v>
      </c>
      <c r="V126" s="142">
        <f t="shared" si="46"/>
        <v>0</v>
      </c>
      <c r="W126" s="142">
        <f t="shared" si="46"/>
        <v>0</v>
      </c>
      <c r="X126" s="142">
        <f t="shared" si="46"/>
        <v>0</v>
      </c>
      <c r="Y126" s="142">
        <f t="shared" si="46"/>
        <v>0</v>
      </c>
      <c r="Z126" s="142">
        <f t="shared" si="46"/>
        <v>0</v>
      </c>
      <c r="AA126" s="142">
        <f t="shared" si="46"/>
        <v>0</v>
      </c>
      <c r="AB126" s="142">
        <f t="shared" si="46"/>
        <v>0</v>
      </c>
      <c r="AC126" s="142">
        <f t="shared" si="46"/>
        <v>0</v>
      </c>
      <c r="AD126" s="142">
        <f t="shared" si="46"/>
        <v>0</v>
      </c>
    </row>
    <row r="127" spans="1:30">
      <c r="A127" s="143"/>
      <c r="B127" s="144" t="s">
        <v>283</v>
      </c>
      <c r="C127" s="141">
        <f t="shared" si="24"/>
        <v>1730</v>
      </c>
      <c r="D127" s="145">
        <f t="shared" si="32"/>
        <v>1730</v>
      </c>
      <c r="E127" s="147"/>
      <c r="F127" s="147"/>
      <c r="G127" s="147"/>
      <c r="H127" s="147"/>
      <c r="I127" s="147"/>
      <c r="J127" s="147"/>
      <c r="K127" s="147"/>
      <c r="L127" s="147"/>
      <c r="M127" s="147"/>
      <c r="N127" s="147"/>
      <c r="O127" s="147"/>
      <c r="P127" s="147"/>
      <c r="Q127" s="147"/>
      <c r="R127" s="145">
        <v>1730</v>
      </c>
      <c r="S127" s="147"/>
      <c r="T127" s="147"/>
      <c r="U127" s="147"/>
      <c r="V127" s="147"/>
      <c r="W127" s="147"/>
      <c r="X127" s="147"/>
      <c r="Y127" s="147"/>
      <c r="Z127" s="147"/>
      <c r="AA127" s="147"/>
      <c r="AB127" s="147"/>
      <c r="AC127" s="147"/>
      <c r="AD127" s="147"/>
    </row>
    <row r="128" spans="1:30" ht="33" customHeight="1">
      <c r="A128" s="143"/>
      <c r="B128" s="144" t="s">
        <v>284</v>
      </c>
      <c r="C128" s="141">
        <f t="shared" si="24"/>
        <v>477</v>
      </c>
      <c r="D128" s="145">
        <f t="shared" si="32"/>
        <v>477</v>
      </c>
      <c r="E128" s="145"/>
      <c r="F128" s="145"/>
      <c r="G128" s="145"/>
      <c r="H128" s="145"/>
      <c r="I128" s="145"/>
      <c r="J128" s="145"/>
      <c r="K128" s="145"/>
      <c r="L128" s="145"/>
      <c r="M128" s="145"/>
      <c r="N128" s="145"/>
      <c r="O128" s="145"/>
      <c r="P128" s="145">
        <v>477</v>
      </c>
      <c r="Q128" s="145"/>
      <c r="R128" s="145"/>
      <c r="S128" s="145"/>
      <c r="T128" s="145"/>
      <c r="U128" s="145"/>
      <c r="V128" s="145"/>
      <c r="W128" s="145"/>
      <c r="X128" s="145"/>
      <c r="Y128" s="145"/>
      <c r="Z128" s="145"/>
      <c r="AA128" s="145"/>
      <c r="AB128" s="145"/>
      <c r="AC128" s="145"/>
      <c r="AD128" s="145"/>
    </row>
    <row r="129" spans="1:34" ht="33" customHeight="1">
      <c r="A129" s="139"/>
      <c r="B129" s="140" t="s">
        <v>285</v>
      </c>
      <c r="C129" s="141">
        <f t="shared" si="24"/>
        <v>1575</v>
      </c>
      <c r="D129" s="142">
        <f>SUM(E129:AC129)</f>
        <v>1575</v>
      </c>
      <c r="E129" s="142">
        <f>+E130+E131</f>
        <v>0</v>
      </c>
      <c r="F129" s="142">
        <f t="shared" ref="F129:AD129" si="47">+F130+F131</f>
        <v>0</v>
      </c>
      <c r="G129" s="142">
        <f t="shared" si="47"/>
        <v>0</v>
      </c>
      <c r="H129" s="142">
        <f t="shared" si="47"/>
        <v>0</v>
      </c>
      <c r="I129" s="142">
        <f t="shared" si="47"/>
        <v>0</v>
      </c>
      <c r="J129" s="142">
        <f t="shared" si="47"/>
        <v>0</v>
      </c>
      <c r="K129" s="142">
        <f t="shared" si="47"/>
        <v>0</v>
      </c>
      <c r="L129" s="142">
        <f t="shared" si="47"/>
        <v>0</v>
      </c>
      <c r="M129" s="142">
        <f t="shared" si="47"/>
        <v>0</v>
      </c>
      <c r="N129" s="142">
        <f t="shared" si="47"/>
        <v>0</v>
      </c>
      <c r="O129" s="142">
        <f t="shared" si="47"/>
        <v>0</v>
      </c>
      <c r="P129" s="142">
        <f t="shared" si="47"/>
        <v>1575</v>
      </c>
      <c r="Q129" s="142">
        <f t="shared" si="47"/>
        <v>0</v>
      </c>
      <c r="R129" s="142">
        <f t="shared" si="47"/>
        <v>0</v>
      </c>
      <c r="S129" s="142">
        <f t="shared" si="47"/>
        <v>0</v>
      </c>
      <c r="T129" s="142">
        <f t="shared" si="47"/>
        <v>0</v>
      </c>
      <c r="U129" s="142">
        <f t="shared" si="47"/>
        <v>0</v>
      </c>
      <c r="V129" s="142">
        <f t="shared" si="47"/>
        <v>0</v>
      </c>
      <c r="W129" s="142">
        <f t="shared" si="47"/>
        <v>0</v>
      </c>
      <c r="X129" s="142">
        <f t="shared" si="47"/>
        <v>0</v>
      </c>
      <c r="Y129" s="142">
        <f t="shared" si="47"/>
        <v>0</v>
      </c>
      <c r="Z129" s="142">
        <f t="shared" si="47"/>
        <v>0</v>
      </c>
      <c r="AA129" s="142">
        <f t="shared" si="47"/>
        <v>0</v>
      </c>
      <c r="AB129" s="142">
        <f t="shared" si="47"/>
        <v>0</v>
      </c>
      <c r="AC129" s="142">
        <f t="shared" si="47"/>
        <v>0</v>
      </c>
      <c r="AD129" s="142">
        <f t="shared" si="47"/>
        <v>0</v>
      </c>
    </row>
    <row r="130" spans="1:34" ht="33" customHeight="1">
      <c r="A130" s="143"/>
      <c r="B130" s="144" t="s">
        <v>286</v>
      </c>
      <c r="C130" s="141">
        <f t="shared" si="24"/>
        <v>1061</v>
      </c>
      <c r="D130" s="145">
        <f t="shared" si="32"/>
        <v>1061</v>
      </c>
      <c r="E130" s="145"/>
      <c r="F130" s="145"/>
      <c r="G130" s="145"/>
      <c r="H130" s="145"/>
      <c r="I130" s="145"/>
      <c r="J130" s="145"/>
      <c r="K130" s="145"/>
      <c r="L130" s="145"/>
      <c r="M130" s="145"/>
      <c r="N130" s="145"/>
      <c r="O130" s="145"/>
      <c r="P130" s="145">
        <v>1061</v>
      </c>
      <c r="Q130" s="145"/>
      <c r="R130" s="145"/>
      <c r="S130" s="145"/>
      <c r="T130" s="145"/>
      <c r="U130" s="145"/>
      <c r="V130" s="145"/>
      <c r="W130" s="145"/>
      <c r="X130" s="145"/>
      <c r="Y130" s="145"/>
      <c r="Z130" s="145"/>
      <c r="AA130" s="145"/>
      <c r="AB130" s="145"/>
      <c r="AC130" s="145"/>
      <c r="AD130" s="145"/>
    </row>
    <row r="131" spans="1:34">
      <c r="A131" s="143"/>
      <c r="B131" s="144" t="s">
        <v>287</v>
      </c>
      <c r="C131" s="141">
        <f t="shared" si="24"/>
        <v>514</v>
      </c>
      <c r="D131" s="145">
        <f t="shared" si="32"/>
        <v>514</v>
      </c>
      <c r="E131" s="145"/>
      <c r="F131" s="145"/>
      <c r="G131" s="145"/>
      <c r="H131" s="145"/>
      <c r="I131" s="145"/>
      <c r="J131" s="145"/>
      <c r="K131" s="145"/>
      <c r="L131" s="145"/>
      <c r="M131" s="145"/>
      <c r="N131" s="145"/>
      <c r="O131" s="145"/>
      <c r="P131" s="145">
        <v>514</v>
      </c>
      <c r="Q131" s="145"/>
      <c r="R131" s="145"/>
      <c r="S131" s="145"/>
      <c r="T131" s="145"/>
      <c r="U131" s="145"/>
      <c r="V131" s="145"/>
      <c r="W131" s="145"/>
      <c r="X131" s="145"/>
      <c r="Y131" s="145"/>
      <c r="Z131" s="145"/>
      <c r="AA131" s="145"/>
      <c r="AB131" s="145"/>
      <c r="AC131" s="145"/>
      <c r="AD131" s="145"/>
    </row>
    <row r="132" spans="1:34" s="76" customFormat="1" ht="24">
      <c r="A132" s="139">
        <v>3</v>
      </c>
      <c r="B132" s="140" t="s">
        <v>288</v>
      </c>
      <c r="C132" s="141">
        <f t="shared" si="24"/>
        <v>410</v>
      </c>
      <c r="D132" s="142">
        <f t="shared" si="32"/>
        <v>230</v>
      </c>
      <c r="E132" s="142">
        <f>+E133+E134</f>
        <v>0</v>
      </c>
      <c r="F132" s="142">
        <f t="shared" ref="F132:AD132" si="48">+F133+F134</f>
        <v>0</v>
      </c>
      <c r="G132" s="142">
        <f t="shared" si="48"/>
        <v>0</v>
      </c>
      <c r="H132" s="142">
        <f t="shared" si="48"/>
        <v>230</v>
      </c>
      <c r="I132" s="142">
        <f t="shared" si="48"/>
        <v>0</v>
      </c>
      <c r="J132" s="142">
        <f t="shared" si="48"/>
        <v>0</v>
      </c>
      <c r="K132" s="142">
        <f t="shared" si="48"/>
        <v>0</v>
      </c>
      <c r="L132" s="142">
        <f t="shared" si="48"/>
        <v>0</v>
      </c>
      <c r="M132" s="142">
        <f t="shared" si="48"/>
        <v>0</v>
      </c>
      <c r="N132" s="142">
        <f t="shared" si="48"/>
        <v>0</v>
      </c>
      <c r="O132" s="142">
        <f t="shared" si="48"/>
        <v>0</v>
      </c>
      <c r="P132" s="142">
        <f t="shared" si="48"/>
        <v>0</v>
      </c>
      <c r="Q132" s="142">
        <f t="shared" si="48"/>
        <v>0</v>
      </c>
      <c r="R132" s="142">
        <f t="shared" si="48"/>
        <v>0</v>
      </c>
      <c r="S132" s="142">
        <f t="shared" si="48"/>
        <v>0</v>
      </c>
      <c r="T132" s="142">
        <f t="shared" si="48"/>
        <v>0</v>
      </c>
      <c r="U132" s="142">
        <f t="shared" si="48"/>
        <v>0</v>
      </c>
      <c r="V132" s="142">
        <f t="shared" si="48"/>
        <v>0</v>
      </c>
      <c r="W132" s="142">
        <f t="shared" si="48"/>
        <v>0</v>
      </c>
      <c r="X132" s="142">
        <f t="shared" si="48"/>
        <v>0</v>
      </c>
      <c r="Y132" s="142">
        <f t="shared" si="48"/>
        <v>0</v>
      </c>
      <c r="Z132" s="142">
        <f t="shared" si="48"/>
        <v>0</v>
      </c>
      <c r="AA132" s="142">
        <f t="shared" si="48"/>
        <v>0</v>
      </c>
      <c r="AB132" s="142">
        <f t="shared" si="48"/>
        <v>0</v>
      </c>
      <c r="AC132" s="142">
        <f t="shared" si="48"/>
        <v>0</v>
      </c>
      <c r="AD132" s="142">
        <f t="shared" si="48"/>
        <v>180</v>
      </c>
      <c r="AE132" s="24"/>
      <c r="AF132" s="24"/>
    </row>
    <row r="133" spans="1:34" s="76" customFormat="1" ht="18.75" customHeight="1">
      <c r="A133" s="139" t="s">
        <v>28</v>
      </c>
      <c r="B133" s="140" t="s">
        <v>238</v>
      </c>
      <c r="C133" s="141">
        <f t="shared" si="24"/>
        <v>0</v>
      </c>
      <c r="D133" s="142">
        <f t="shared" si="32"/>
        <v>0</v>
      </c>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24"/>
      <c r="AF133" s="24"/>
    </row>
    <row r="134" spans="1:34" s="76" customFormat="1" ht="18.75" customHeight="1">
      <c r="A134" s="139" t="s">
        <v>29</v>
      </c>
      <c r="B134" s="140" t="s">
        <v>239</v>
      </c>
      <c r="C134" s="141">
        <f t="shared" si="24"/>
        <v>410</v>
      </c>
      <c r="D134" s="142">
        <f>SUM(E134:AC134)</f>
        <v>230</v>
      </c>
      <c r="E134" s="142">
        <f t="shared" ref="E134:AC134" si="49">+E135+E136</f>
        <v>0</v>
      </c>
      <c r="F134" s="142">
        <f t="shared" si="49"/>
        <v>0</v>
      </c>
      <c r="G134" s="142">
        <f t="shared" si="49"/>
        <v>0</v>
      </c>
      <c r="H134" s="142">
        <f t="shared" si="49"/>
        <v>230</v>
      </c>
      <c r="I134" s="142">
        <f t="shared" si="49"/>
        <v>0</v>
      </c>
      <c r="J134" s="142">
        <f t="shared" si="49"/>
        <v>0</v>
      </c>
      <c r="K134" s="142">
        <f t="shared" si="49"/>
        <v>0</v>
      </c>
      <c r="L134" s="142">
        <f t="shared" si="49"/>
        <v>0</v>
      </c>
      <c r="M134" s="142">
        <f t="shared" si="49"/>
        <v>0</v>
      </c>
      <c r="N134" s="142">
        <f t="shared" si="49"/>
        <v>0</v>
      </c>
      <c r="O134" s="142">
        <f t="shared" si="49"/>
        <v>0</v>
      </c>
      <c r="P134" s="142">
        <f t="shared" si="49"/>
        <v>0</v>
      </c>
      <c r="Q134" s="142">
        <f t="shared" si="49"/>
        <v>0</v>
      </c>
      <c r="R134" s="142">
        <f t="shared" si="49"/>
        <v>0</v>
      </c>
      <c r="S134" s="142">
        <f t="shared" si="49"/>
        <v>0</v>
      </c>
      <c r="T134" s="142">
        <f t="shared" si="49"/>
        <v>0</v>
      </c>
      <c r="U134" s="142">
        <f t="shared" si="49"/>
        <v>0</v>
      </c>
      <c r="V134" s="142">
        <f t="shared" si="49"/>
        <v>0</v>
      </c>
      <c r="W134" s="142">
        <f t="shared" si="49"/>
        <v>0</v>
      </c>
      <c r="X134" s="142">
        <f t="shared" si="49"/>
        <v>0</v>
      </c>
      <c r="Y134" s="142">
        <f t="shared" si="49"/>
        <v>0</v>
      </c>
      <c r="Z134" s="142">
        <f t="shared" si="49"/>
        <v>0</v>
      </c>
      <c r="AA134" s="142">
        <f t="shared" si="49"/>
        <v>0</v>
      </c>
      <c r="AB134" s="142">
        <f t="shared" si="49"/>
        <v>0</v>
      </c>
      <c r="AC134" s="142">
        <f t="shared" si="49"/>
        <v>0</v>
      </c>
      <c r="AD134" s="142">
        <f>+AD135+AD136</f>
        <v>180</v>
      </c>
      <c r="AE134" s="24"/>
      <c r="AF134" s="24"/>
    </row>
    <row r="135" spans="1:34" ht="66" customHeight="1">
      <c r="A135" s="143"/>
      <c r="B135" s="144" t="s">
        <v>289</v>
      </c>
      <c r="C135" s="141">
        <f t="shared" si="24"/>
        <v>200</v>
      </c>
      <c r="D135" s="145">
        <f t="shared" si="32"/>
        <v>200</v>
      </c>
      <c r="E135" s="145"/>
      <c r="F135" s="145"/>
      <c r="G135" s="145"/>
      <c r="H135" s="145">
        <v>200</v>
      </c>
      <c r="I135" s="145"/>
      <c r="J135" s="145"/>
      <c r="K135" s="145"/>
      <c r="L135" s="145"/>
      <c r="M135" s="145"/>
      <c r="N135" s="145"/>
      <c r="O135" s="145"/>
      <c r="P135" s="145"/>
      <c r="Q135" s="145"/>
      <c r="R135" s="145"/>
      <c r="S135" s="145"/>
      <c r="T135" s="145"/>
      <c r="U135" s="145"/>
      <c r="V135" s="145"/>
      <c r="W135" s="145"/>
      <c r="X135" s="145"/>
      <c r="Y135" s="145"/>
      <c r="Z135" s="145"/>
      <c r="AA135" s="145"/>
      <c r="AB135" s="145"/>
      <c r="AC135" s="145"/>
      <c r="AD135" s="145"/>
    </row>
    <row r="136" spans="1:34" ht="37.5" customHeight="1">
      <c r="A136" s="143"/>
      <c r="B136" s="144" t="s">
        <v>290</v>
      </c>
      <c r="C136" s="141">
        <f t="shared" si="24"/>
        <v>210</v>
      </c>
      <c r="D136" s="145">
        <f t="shared" si="32"/>
        <v>30</v>
      </c>
      <c r="E136" s="145"/>
      <c r="F136" s="145"/>
      <c r="G136" s="145"/>
      <c r="H136" s="145">
        <v>30</v>
      </c>
      <c r="I136" s="145"/>
      <c r="J136" s="145"/>
      <c r="K136" s="145"/>
      <c r="L136" s="145"/>
      <c r="M136" s="145"/>
      <c r="N136" s="145"/>
      <c r="O136" s="145"/>
      <c r="P136" s="145"/>
      <c r="Q136" s="145"/>
      <c r="R136" s="145"/>
      <c r="S136" s="145"/>
      <c r="T136" s="145"/>
      <c r="U136" s="145"/>
      <c r="V136" s="145"/>
      <c r="W136" s="145"/>
      <c r="X136" s="145"/>
      <c r="Y136" s="145"/>
      <c r="Z136" s="145"/>
      <c r="AA136" s="145"/>
      <c r="AB136" s="145"/>
      <c r="AC136" s="145"/>
      <c r="AD136" s="145">
        <v>180</v>
      </c>
    </row>
    <row r="137" spans="1:34" s="76" customFormat="1" ht="37.5" customHeight="1">
      <c r="A137" s="139" t="s">
        <v>4</v>
      </c>
      <c r="B137" s="140" t="s">
        <v>302</v>
      </c>
      <c r="C137" s="141">
        <f t="shared" si="24"/>
        <v>3233</v>
      </c>
      <c r="D137" s="142">
        <f t="shared" si="32"/>
        <v>28</v>
      </c>
      <c r="E137" s="142">
        <f>+E138+E140</f>
        <v>0</v>
      </c>
      <c r="F137" s="142">
        <f t="shared" ref="F137:AD137" si="50">+F138+F140</f>
        <v>0</v>
      </c>
      <c r="G137" s="142">
        <f t="shared" si="50"/>
        <v>0</v>
      </c>
      <c r="H137" s="142">
        <f t="shared" si="50"/>
        <v>0</v>
      </c>
      <c r="I137" s="142">
        <f t="shared" si="50"/>
        <v>0</v>
      </c>
      <c r="J137" s="142">
        <f t="shared" si="50"/>
        <v>0</v>
      </c>
      <c r="K137" s="142">
        <f t="shared" si="50"/>
        <v>0</v>
      </c>
      <c r="L137" s="142">
        <f t="shared" si="50"/>
        <v>0</v>
      </c>
      <c r="M137" s="142">
        <f t="shared" si="50"/>
        <v>0</v>
      </c>
      <c r="N137" s="142">
        <f t="shared" si="50"/>
        <v>0</v>
      </c>
      <c r="O137" s="142">
        <f t="shared" si="50"/>
        <v>0</v>
      </c>
      <c r="P137" s="142">
        <f t="shared" si="50"/>
        <v>0</v>
      </c>
      <c r="Q137" s="142">
        <f t="shared" si="50"/>
        <v>0</v>
      </c>
      <c r="R137" s="142">
        <f t="shared" si="50"/>
        <v>0</v>
      </c>
      <c r="S137" s="142">
        <f t="shared" si="50"/>
        <v>0</v>
      </c>
      <c r="T137" s="142">
        <f t="shared" si="50"/>
        <v>0</v>
      </c>
      <c r="U137" s="142">
        <f t="shared" si="50"/>
        <v>0</v>
      </c>
      <c r="V137" s="142">
        <f t="shared" si="50"/>
        <v>0</v>
      </c>
      <c r="W137" s="142">
        <f t="shared" si="50"/>
        <v>0</v>
      </c>
      <c r="X137" s="142">
        <f t="shared" si="50"/>
        <v>0</v>
      </c>
      <c r="Y137" s="142">
        <f t="shared" si="50"/>
        <v>0</v>
      </c>
      <c r="Z137" s="142">
        <f t="shared" si="50"/>
        <v>28</v>
      </c>
      <c r="AA137" s="142">
        <f t="shared" si="50"/>
        <v>0</v>
      </c>
      <c r="AB137" s="142">
        <f t="shared" si="50"/>
        <v>0</v>
      </c>
      <c r="AC137" s="142">
        <f t="shared" si="50"/>
        <v>0</v>
      </c>
      <c r="AD137" s="142">
        <f t="shared" si="50"/>
        <v>3205</v>
      </c>
      <c r="AE137" s="24"/>
      <c r="AF137" s="24"/>
    </row>
    <row r="138" spans="1:34" s="76" customFormat="1" ht="33.75" customHeight="1">
      <c r="A138" s="139">
        <v>1</v>
      </c>
      <c r="B138" s="140" t="s">
        <v>292</v>
      </c>
      <c r="C138" s="141">
        <f t="shared" si="24"/>
        <v>3205</v>
      </c>
      <c r="D138" s="142">
        <f t="shared" si="32"/>
        <v>0</v>
      </c>
      <c r="E138" s="142">
        <f>+E139</f>
        <v>0</v>
      </c>
      <c r="F138" s="142">
        <f t="shared" ref="F138:AD138" si="51">+F139</f>
        <v>0</v>
      </c>
      <c r="G138" s="142">
        <f t="shared" si="51"/>
        <v>0</v>
      </c>
      <c r="H138" s="142">
        <f t="shared" si="51"/>
        <v>0</v>
      </c>
      <c r="I138" s="142">
        <f t="shared" si="51"/>
        <v>0</v>
      </c>
      <c r="J138" s="142">
        <f t="shared" si="51"/>
        <v>0</v>
      </c>
      <c r="K138" s="142">
        <f t="shared" si="51"/>
        <v>0</v>
      </c>
      <c r="L138" s="142">
        <f t="shared" si="51"/>
        <v>0</v>
      </c>
      <c r="M138" s="142">
        <f t="shared" si="51"/>
        <v>0</v>
      </c>
      <c r="N138" s="142">
        <f t="shared" si="51"/>
        <v>0</v>
      </c>
      <c r="O138" s="142">
        <f t="shared" si="51"/>
        <v>0</v>
      </c>
      <c r="P138" s="142">
        <f t="shared" si="51"/>
        <v>0</v>
      </c>
      <c r="Q138" s="142">
        <f t="shared" si="51"/>
        <v>0</v>
      </c>
      <c r="R138" s="142">
        <f t="shared" si="51"/>
        <v>0</v>
      </c>
      <c r="S138" s="142">
        <f t="shared" si="51"/>
        <v>0</v>
      </c>
      <c r="T138" s="142">
        <f t="shared" si="51"/>
        <v>0</v>
      </c>
      <c r="U138" s="142">
        <f t="shared" si="51"/>
        <v>0</v>
      </c>
      <c r="V138" s="142">
        <f t="shared" si="51"/>
        <v>0</v>
      </c>
      <c r="W138" s="142">
        <f t="shared" si="51"/>
        <v>0</v>
      </c>
      <c r="X138" s="142">
        <f t="shared" si="51"/>
        <v>0</v>
      </c>
      <c r="Y138" s="142">
        <f t="shared" si="51"/>
        <v>0</v>
      </c>
      <c r="Z138" s="142">
        <f t="shared" si="51"/>
        <v>0</v>
      </c>
      <c r="AA138" s="142">
        <f t="shared" si="51"/>
        <v>0</v>
      </c>
      <c r="AB138" s="142">
        <f t="shared" si="51"/>
        <v>0</v>
      </c>
      <c r="AC138" s="142">
        <f t="shared" si="51"/>
        <v>0</v>
      </c>
      <c r="AD138" s="142">
        <f t="shared" si="51"/>
        <v>3205</v>
      </c>
      <c r="AE138" s="24"/>
      <c r="AF138" s="24"/>
    </row>
    <row r="139" spans="1:34" ht="21.75" customHeight="1">
      <c r="A139" s="143"/>
      <c r="B139" s="144" t="s">
        <v>293</v>
      </c>
      <c r="C139" s="141">
        <f t="shared" si="24"/>
        <v>3205</v>
      </c>
      <c r="D139" s="145">
        <f t="shared" si="32"/>
        <v>0</v>
      </c>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v>3205</v>
      </c>
    </row>
    <row r="140" spans="1:34" s="76" customFormat="1" ht="35.25" customHeight="1">
      <c r="A140" s="139">
        <v>2</v>
      </c>
      <c r="B140" s="140" t="s">
        <v>294</v>
      </c>
      <c r="C140" s="141">
        <f t="shared" si="24"/>
        <v>28</v>
      </c>
      <c r="D140" s="142">
        <f t="shared" si="32"/>
        <v>28</v>
      </c>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v>28</v>
      </c>
      <c r="AA140" s="142"/>
      <c r="AB140" s="142"/>
      <c r="AC140" s="142"/>
      <c r="AD140" s="142"/>
      <c r="AE140" s="24"/>
      <c r="AF140" s="24"/>
    </row>
    <row r="142" spans="1:34" s="275" customFormat="1" ht="20.25" customHeight="1">
      <c r="B142" s="276" t="s">
        <v>451</v>
      </c>
      <c r="AE142" s="277"/>
      <c r="AF142" s="277"/>
      <c r="AG142" s="277"/>
      <c r="AH142" s="277"/>
    </row>
    <row r="143" spans="1:34" s="275" customFormat="1" ht="20.25" customHeight="1">
      <c r="A143" s="278"/>
      <c r="B143" s="275" t="s">
        <v>440</v>
      </c>
      <c r="AE143" s="277"/>
      <c r="AF143" s="277"/>
      <c r="AG143" s="277"/>
      <c r="AH143" s="277"/>
    </row>
    <row r="144" spans="1:34" s="275" customFormat="1" ht="20.25" customHeight="1">
      <c r="A144" s="278"/>
      <c r="B144" s="275" t="s">
        <v>441</v>
      </c>
      <c r="AE144" s="277"/>
      <c r="AF144" s="277"/>
      <c r="AG144" s="277"/>
      <c r="AH144" s="277"/>
    </row>
    <row r="145" spans="1:34" s="275" customFormat="1" ht="20.25" customHeight="1">
      <c r="A145" s="278"/>
      <c r="B145" s="275" t="s">
        <v>442</v>
      </c>
      <c r="AE145" s="277"/>
      <c r="AF145" s="277"/>
      <c r="AG145" s="277"/>
      <c r="AH145" s="277"/>
    </row>
  </sheetData>
  <mergeCells count="4">
    <mergeCell ref="AB1:AD1"/>
    <mergeCell ref="A3:AD3"/>
    <mergeCell ref="A2:AD2"/>
    <mergeCell ref="AB4:AD4"/>
  </mergeCells>
  <pageMargins left="0.23622047244094491" right="0.19685039370078741" top="0.43307086614173229" bottom="0.63" header="0.23622047244094491" footer="0.31496062992125984"/>
  <pageSetup paperSize="9" scale="60" orientation="landscape" r:id="rId1"/>
  <headerFooter>
    <oddFooter>&amp;C&amp;P</oddFooter>
  </headerFooter>
  <colBreaks count="1" manualBreakCount="1">
    <brk id="3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AH71"/>
  <sheetViews>
    <sheetView view="pageBreakPreview" zoomScale="70" zoomScaleNormal="100" zoomScaleSheetLayoutView="70" workbookViewId="0">
      <selection activeCell="W69" sqref="W69"/>
    </sheetView>
  </sheetViews>
  <sheetFormatPr defaultColWidth="7.42578125" defaultRowHeight="15.75"/>
  <cols>
    <col min="1" max="1" width="7" style="41" customWidth="1"/>
    <col min="2" max="2" width="53" style="42" customWidth="1"/>
    <col min="3" max="3" width="10.42578125" style="101" customWidth="1"/>
    <col min="4" max="22" width="9" style="43" customWidth="1"/>
    <col min="23" max="23" width="22.140625" style="42" customWidth="1"/>
    <col min="24" max="16384" width="7.42578125" style="42"/>
  </cols>
  <sheetData>
    <row r="1" spans="1:25" ht="18" customHeight="1">
      <c r="U1" s="290" t="s">
        <v>210</v>
      </c>
      <c r="V1" s="290"/>
    </row>
    <row r="2" spans="1:25" ht="18.75" customHeight="1">
      <c r="A2" s="288" t="s">
        <v>234</v>
      </c>
      <c r="B2" s="288"/>
      <c r="C2" s="288"/>
      <c r="D2" s="288"/>
      <c r="E2" s="288"/>
      <c r="F2" s="288"/>
      <c r="G2" s="288"/>
      <c r="H2" s="288"/>
      <c r="I2" s="288"/>
      <c r="J2" s="288"/>
      <c r="K2" s="288"/>
      <c r="L2" s="288"/>
      <c r="M2" s="288"/>
      <c r="N2" s="288"/>
      <c r="O2" s="288"/>
      <c r="P2" s="288"/>
      <c r="Q2" s="288"/>
      <c r="R2" s="288"/>
      <c r="S2" s="288"/>
      <c r="T2" s="288"/>
      <c r="U2" s="288"/>
      <c r="V2" s="288"/>
      <c r="W2" s="44"/>
      <c r="X2" s="45"/>
      <c r="Y2" s="45"/>
    </row>
    <row r="3" spans="1:25">
      <c r="A3" s="289" t="str">
        <f>'Biểu 1'!A3:C3</f>
        <v>(Kèm theo Quyết định số 2128 /QĐ-UBND ngày 20 tháng 12 năm 2022 của UBND huyện Tuần Giáo)</v>
      </c>
      <c r="B3" s="289"/>
      <c r="C3" s="289"/>
      <c r="D3" s="289"/>
      <c r="E3" s="289"/>
      <c r="F3" s="289"/>
      <c r="G3" s="289"/>
      <c r="H3" s="289"/>
      <c r="I3" s="289"/>
      <c r="J3" s="289"/>
      <c r="K3" s="289"/>
      <c r="L3" s="289"/>
      <c r="M3" s="289"/>
      <c r="N3" s="289"/>
      <c r="O3" s="289"/>
      <c r="P3" s="289"/>
      <c r="Q3" s="289"/>
      <c r="R3" s="289"/>
      <c r="S3" s="289"/>
      <c r="T3" s="289"/>
      <c r="U3" s="289"/>
      <c r="V3" s="289"/>
      <c r="W3" s="46"/>
      <c r="X3" s="45"/>
      <c r="Y3" s="45"/>
    </row>
    <row r="4" spans="1:25" ht="18.75" customHeight="1">
      <c r="A4" s="47"/>
      <c r="B4" s="48"/>
      <c r="C4" s="102"/>
      <c r="T4" s="287" t="s">
        <v>101</v>
      </c>
      <c r="U4" s="287"/>
      <c r="V4" s="287"/>
    </row>
    <row r="5" spans="1:25" s="48" customFormat="1" ht="67.5" customHeight="1">
      <c r="A5" s="49" t="s">
        <v>0</v>
      </c>
      <c r="B5" s="50" t="s">
        <v>96</v>
      </c>
      <c r="C5" s="49" t="s">
        <v>45</v>
      </c>
      <c r="D5" s="51" t="s">
        <v>211</v>
      </c>
      <c r="E5" s="51" t="s">
        <v>147</v>
      </c>
      <c r="F5" s="51" t="s">
        <v>148</v>
      </c>
      <c r="G5" s="51" t="s">
        <v>149</v>
      </c>
      <c r="H5" s="51" t="s">
        <v>150</v>
      </c>
      <c r="I5" s="51" t="s">
        <v>151</v>
      </c>
      <c r="J5" s="51" t="s">
        <v>152</v>
      </c>
      <c r="K5" s="51" t="s">
        <v>153</v>
      </c>
      <c r="L5" s="51" t="s">
        <v>154</v>
      </c>
      <c r="M5" s="51" t="s">
        <v>155</v>
      </c>
      <c r="N5" s="51" t="s">
        <v>156</v>
      </c>
      <c r="O5" s="51" t="s">
        <v>157</v>
      </c>
      <c r="P5" s="51" t="s">
        <v>158</v>
      </c>
      <c r="Q5" s="51" t="s">
        <v>159</v>
      </c>
      <c r="R5" s="51" t="s">
        <v>160</v>
      </c>
      <c r="S5" s="51" t="s">
        <v>161</v>
      </c>
      <c r="T5" s="51" t="s">
        <v>162</v>
      </c>
      <c r="U5" s="51" t="s">
        <v>163</v>
      </c>
      <c r="V5" s="51" t="s">
        <v>164</v>
      </c>
    </row>
    <row r="6" spans="1:25" s="48" customFormat="1" ht="29.25" customHeight="1">
      <c r="A6" s="49" t="s">
        <v>1</v>
      </c>
      <c r="B6" s="52" t="s">
        <v>165</v>
      </c>
      <c r="C6" s="103">
        <f>SUM(D6:V6)</f>
        <v>147721</v>
      </c>
      <c r="D6" s="53">
        <f>D7+D17</f>
        <v>9218</v>
      </c>
      <c r="E6" s="53">
        <f t="shared" ref="E6:V6" si="0">E7+E17</f>
        <v>7656</v>
      </c>
      <c r="F6" s="53">
        <f t="shared" si="0"/>
        <v>7291</v>
      </c>
      <c r="G6" s="53">
        <f t="shared" si="0"/>
        <v>8512</v>
      </c>
      <c r="H6" s="53">
        <f t="shared" si="0"/>
        <v>7515</v>
      </c>
      <c r="I6" s="53">
        <f t="shared" si="0"/>
        <v>7718</v>
      </c>
      <c r="J6" s="53">
        <f t="shared" si="0"/>
        <v>8428</v>
      </c>
      <c r="K6" s="53">
        <f t="shared" si="0"/>
        <v>8195</v>
      </c>
      <c r="L6" s="53">
        <f t="shared" si="0"/>
        <v>7936</v>
      </c>
      <c r="M6" s="53">
        <f t="shared" si="0"/>
        <v>7819</v>
      </c>
      <c r="N6" s="53">
        <f t="shared" si="0"/>
        <v>7294</v>
      </c>
      <c r="O6" s="53">
        <f t="shared" si="0"/>
        <v>7245</v>
      </c>
      <c r="P6" s="53">
        <f t="shared" si="0"/>
        <v>7352</v>
      </c>
      <c r="Q6" s="53">
        <f t="shared" si="0"/>
        <v>7425</v>
      </c>
      <c r="R6" s="53">
        <f t="shared" si="0"/>
        <v>7830</v>
      </c>
      <c r="S6" s="53">
        <f t="shared" si="0"/>
        <v>7081</v>
      </c>
      <c r="T6" s="53">
        <f t="shared" si="0"/>
        <v>7425</v>
      </c>
      <c r="U6" s="53">
        <f t="shared" si="0"/>
        <v>8382</v>
      </c>
      <c r="V6" s="53">
        <f t="shared" si="0"/>
        <v>7399</v>
      </c>
    </row>
    <row r="7" spans="1:25" s="55" customFormat="1" ht="29.25" customHeight="1">
      <c r="A7" s="50" t="s">
        <v>3</v>
      </c>
      <c r="B7" s="54" t="s">
        <v>166</v>
      </c>
      <c r="C7" s="103">
        <f>+C8+C9+C10+C13+C15+C16</f>
        <v>3980</v>
      </c>
      <c r="D7" s="53">
        <f>+D8+D9+D10+D13+D15+D16</f>
        <v>105</v>
      </c>
      <c r="E7" s="53">
        <f t="shared" ref="E7:V7" si="1">+E8+E9+E10+E13+E15+E16</f>
        <v>28</v>
      </c>
      <c r="F7" s="53">
        <f t="shared" si="1"/>
        <v>45</v>
      </c>
      <c r="G7" s="53">
        <f t="shared" si="1"/>
        <v>95</v>
      </c>
      <c r="H7" s="53">
        <f t="shared" si="1"/>
        <v>50</v>
      </c>
      <c r="I7" s="53">
        <f t="shared" si="1"/>
        <v>3245</v>
      </c>
      <c r="J7" s="53">
        <f t="shared" si="1"/>
        <v>90</v>
      </c>
      <c r="K7" s="53">
        <f t="shared" si="1"/>
        <v>30</v>
      </c>
      <c r="L7" s="53">
        <f t="shared" si="1"/>
        <v>40</v>
      </c>
      <c r="M7" s="53">
        <f t="shared" si="1"/>
        <v>20</v>
      </c>
      <c r="N7" s="53">
        <f t="shared" si="1"/>
        <v>30</v>
      </c>
      <c r="O7" s="53">
        <f t="shared" si="1"/>
        <v>17</v>
      </c>
      <c r="P7" s="53">
        <f t="shared" si="1"/>
        <v>17</v>
      </c>
      <c r="Q7" s="53">
        <f t="shared" si="1"/>
        <v>20</v>
      </c>
      <c r="R7" s="53">
        <f t="shared" si="1"/>
        <v>15</v>
      </c>
      <c r="S7" s="53">
        <f t="shared" si="1"/>
        <v>15</v>
      </c>
      <c r="T7" s="53">
        <f t="shared" si="1"/>
        <v>23</v>
      </c>
      <c r="U7" s="53">
        <f t="shared" si="1"/>
        <v>70</v>
      </c>
      <c r="V7" s="53">
        <f t="shared" si="1"/>
        <v>25</v>
      </c>
    </row>
    <row r="8" spans="1:25" s="59" customFormat="1" ht="22.5" customHeight="1">
      <c r="A8" s="56" t="s">
        <v>167</v>
      </c>
      <c r="B8" s="57" t="s">
        <v>18</v>
      </c>
      <c r="C8" s="104">
        <f>SUM(D8:V8)</f>
        <v>340</v>
      </c>
      <c r="D8" s="58">
        <v>35</v>
      </c>
      <c r="E8" s="58">
        <v>0</v>
      </c>
      <c r="F8" s="58">
        <v>10</v>
      </c>
      <c r="G8" s="58">
        <v>20</v>
      </c>
      <c r="H8" s="58">
        <v>5</v>
      </c>
      <c r="I8" s="58">
        <v>225</v>
      </c>
      <c r="J8" s="58">
        <v>25</v>
      </c>
      <c r="K8" s="58">
        <v>0</v>
      </c>
      <c r="L8" s="58">
        <v>10</v>
      </c>
      <c r="M8" s="58">
        <v>0</v>
      </c>
      <c r="N8" s="58">
        <v>0</v>
      </c>
      <c r="O8" s="58">
        <v>0</v>
      </c>
      <c r="P8" s="58">
        <v>0</v>
      </c>
      <c r="Q8" s="58">
        <v>0</v>
      </c>
      <c r="R8" s="58">
        <v>0</v>
      </c>
      <c r="S8" s="58">
        <v>0</v>
      </c>
      <c r="T8" s="58">
        <v>0</v>
      </c>
      <c r="U8" s="58">
        <v>10</v>
      </c>
      <c r="V8" s="58">
        <v>0</v>
      </c>
    </row>
    <row r="9" spans="1:25" s="59" customFormat="1" ht="22.5" customHeight="1">
      <c r="A9" s="56" t="s">
        <v>168</v>
      </c>
      <c r="B9" s="57" t="s">
        <v>104</v>
      </c>
      <c r="C9" s="104">
        <f t="shared" ref="C9:C31" si="2">SUM(D9:V9)</f>
        <v>80</v>
      </c>
      <c r="D9" s="58">
        <v>0</v>
      </c>
      <c r="E9" s="58">
        <v>0</v>
      </c>
      <c r="F9" s="58">
        <v>0</v>
      </c>
      <c r="G9" s="58">
        <v>0</v>
      </c>
      <c r="H9" s="58">
        <v>0</v>
      </c>
      <c r="I9" s="58">
        <v>80</v>
      </c>
      <c r="J9" s="58">
        <v>0</v>
      </c>
      <c r="K9" s="58">
        <v>0</v>
      </c>
      <c r="L9" s="58">
        <v>0</v>
      </c>
      <c r="M9" s="58">
        <v>0</v>
      </c>
      <c r="N9" s="58">
        <v>0</v>
      </c>
      <c r="O9" s="58">
        <v>0</v>
      </c>
      <c r="P9" s="58">
        <v>0</v>
      </c>
      <c r="Q9" s="58">
        <v>0</v>
      </c>
      <c r="R9" s="58">
        <v>0</v>
      </c>
      <c r="S9" s="58">
        <v>0</v>
      </c>
      <c r="T9" s="58">
        <v>0</v>
      </c>
      <c r="U9" s="58">
        <v>0</v>
      </c>
      <c r="V9" s="58">
        <v>0</v>
      </c>
    </row>
    <row r="10" spans="1:25" s="59" customFormat="1" ht="22.5" customHeight="1">
      <c r="A10" s="56" t="s">
        <v>169</v>
      </c>
      <c r="B10" s="57" t="s">
        <v>22</v>
      </c>
      <c r="C10" s="104">
        <f t="shared" si="2"/>
        <v>612</v>
      </c>
      <c r="D10" s="58">
        <f>+D11+D12</f>
        <v>50</v>
      </c>
      <c r="E10" s="58">
        <f t="shared" ref="E10:V10" si="3">+E11+E12</f>
        <v>20</v>
      </c>
      <c r="F10" s="58">
        <f t="shared" si="3"/>
        <v>25</v>
      </c>
      <c r="G10" s="58">
        <f t="shared" si="3"/>
        <v>50</v>
      </c>
      <c r="H10" s="58">
        <f t="shared" si="3"/>
        <v>35</v>
      </c>
      <c r="I10" s="58">
        <f t="shared" si="3"/>
        <v>180</v>
      </c>
      <c r="J10" s="58">
        <f t="shared" si="3"/>
        <v>30</v>
      </c>
      <c r="K10" s="58">
        <f t="shared" si="3"/>
        <v>25</v>
      </c>
      <c r="L10" s="58">
        <f t="shared" si="3"/>
        <v>23</v>
      </c>
      <c r="M10" s="58">
        <f t="shared" si="3"/>
        <v>16</v>
      </c>
      <c r="N10" s="58">
        <f t="shared" si="3"/>
        <v>28</v>
      </c>
      <c r="O10" s="58">
        <f t="shared" si="3"/>
        <v>10</v>
      </c>
      <c r="P10" s="58">
        <f t="shared" si="3"/>
        <v>15</v>
      </c>
      <c r="Q10" s="58">
        <f t="shared" si="3"/>
        <v>15</v>
      </c>
      <c r="R10" s="58">
        <f t="shared" si="3"/>
        <v>10</v>
      </c>
      <c r="S10" s="58">
        <f t="shared" si="3"/>
        <v>10</v>
      </c>
      <c r="T10" s="58">
        <f t="shared" si="3"/>
        <v>15</v>
      </c>
      <c r="U10" s="58">
        <f t="shared" si="3"/>
        <v>35</v>
      </c>
      <c r="V10" s="58">
        <f t="shared" si="3"/>
        <v>20</v>
      </c>
    </row>
    <row r="11" spans="1:25" s="59" customFormat="1" ht="22.5" customHeight="1">
      <c r="A11" s="56"/>
      <c r="B11" s="57" t="s">
        <v>170</v>
      </c>
      <c r="C11" s="104">
        <f t="shared" si="2"/>
        <v>472</v>
      </c>
      <c r="D11" s="58">
        <v>30</v>
      </c>
      <c r="E11" s="58">
        <v>20</v>
      </c>
      <c r="F11" s="58">
        <v>20</v>
      </c>
      <c r="G11" s="58">
        <v>40</v>
      </c>
      <c r="H11" s="58">
        <v>25</v>
      </c>
      <c r="I11" s="58">
        <v>100</v>
      </c>
      <c r="J11" s="58">
        <v>25</v>
      </c>
      <c r="K11" s="58">
        <v>25</v>
      </c>
      <c r="L11" s="58">
        <v>18</v>
      </c>
      <c r="M11" s="58">
        <v>16</v>
      </c>
      <c r="N11" s="58">
        <v>28</v>
      </c>
      <c r="O11" s="58">
        <v>10</v>
      </c>
      <c r="P11" s="58">
        <v>15</v>
      </c>
      <c r="Q11" s="58">
        <v>15</v>
      </c>
      <c r="R11" s="58">
        <v>10</v>
      </c>
      <c r="S11" s="58">
        <v>10</v>
      </c>
      <c r="T11" s="58">
        <v>15</v>
      </c>
      <c r="U11" s="58">
        <v>30</v>
      </c>
      <c r="V11" s="58">
        <v>20</v>
      </c>
    </row>
    <row r="12" spans="1:25" s="59" customFormat="1" ht="22.5" customHeight="1">
      <c r="A12" s="56"/>
      <c r="B12" s="57" t="s">
        <v>171</v>
      </c>
      <c r="C12" s="104">
        <f t="shared" si="2"/>
        <v>140</v>
      </c>
      <c r="D12" s="58">
        <v>20</v>
      </c>
      <c r="E12" s="58">
        <v>0</v>
      </c>
      <c r="F12" s="58">
        <v>5</v>
      </c>
      <c r="G12" s="58">
        <v>10</v>
      </c>
      <c r="H12" s="58">
        <v>10</v>
      </c>
      <c r="I12" s="58">
        <v>80</v>
      </c>
      <c r="J12" s="58">
        <v>5</v>
      </c>
      <c r="K12" s="58">
        <v>0</v>
      </c>
      <c r="L12" s="58">
        <v>5</v>
      </c>
      <c r="M12" s="58">
        <v>0</v>
      </c>
      <c r="N12" s="58">
        <v>0</v>
      </c>
      <c r="O12" s="58">
        <v>0</v>
      </c>
      <c r="P12" s="58">
        <v>0</v>
      </c>
      <c r="Q12" s="58">
        <v>0</v>
      </c>
      <c r="R12" s="58">
        <v>0</v>
      </c>
      <c r="S12" s="58">
        <v>0</v>
      </c>
      <c r="T12" s="58">
        <v>0</v>
      </c>
      <c r="U12" s="58">
        <v>5</v>
      </c>
      <c r="V12" s="58">
        <v>0</v>
      </c>
    </row>
    <row r="13" spans="1:25" s="59" customFormat="1" ht="22.5" customHeight="1">
      <c r="A13" s="56" t="s">
        <v>172</v>
      </c>
      <c r="B13" s="57" t="s">
        <v>173</v>
      </c>
      <c r="C13" s="104">
        <f>SUM(D13:V13)</f>
        <v>2700</v>
      </c>
      <c r="D13" s="58">
        <f>+D14</f>
        <v>0</v>
      </c>
      <c r="E13" s="58">
        <f t="shared" ref="E13:V13" si="4">+E14</f>
        <v>0</v>
      </c>
      <c r="F13" s="58">
        <f t="shared" si="4"/>
        <v>0</v>
      </c>
      <c r="G13" s="58">
        <f t="shared" si="4"/>
        <v>0</v>
      </c>
      <c r="H13" s="58">
        <f t="shared" si="4"/>
        <v>0</v>
      </c>
      <c r="I13" s="58">
        <f t="shared" si="4"/>
        <v>2700</v>
      </c>
      <c r="J13" s="58">
        <f t="shared" si="4"/>
        <v>0</v>
      </c>
      <c r="K13" s="58">
        <f t="shared" si="4"/>
        <v>0</v>
      </c>
      <c r="L13" s="58">
        <f t="shared" si="4"/>
        <v>0</v>
      </c>
      <c r="M13" s="58">
        <f t="shared" si="4"/>
        <v>0</v>
      </c>
      <c r="N13" s="58">
        <f t="shared" si="4"/>
        <v>0</v>
      </c>
      <c r="O13" s="58">
        <f t="shared" si="4"/>
        <v>0</v>
      </c>
      <c r="P13" s="58">
        <f t="shared" si="4"/>
        <v>0</v>
      </c>
      <c r="Q13" s="58">
        <f t="shared" si="4"/>
        <v>0</v>
      </c>
      <c r="R13" s="58">
        <f t="shared" si="4"/>
        <v>0</v>
      </c>
      <c r="S13" s="58">
        <f t="shared" si="4"/>
        <v>0</v>
      </c>
      <c r="T13" s="58">
        <f t="shared" si="4"/>
        <v>0</v>
      </c>
      <c r="U13" s="58">
        <f t="shared" si="4"/>
        <v>0</v>
      </c>
      <c r="V13" s="58">
        <f t="shared" si="4"/>
        <v>0</v>
      </c>
    </row>
    <row r="14" spans="1:25" s="59" customFormat="1" ht="22.5" customHeight="1">
      <c r="A14" s="56"/>
      <c r="B14" s="57" t="s">
        <v>174</v>
      </c>
      <c r="C14" s="104">
        <f t="shared" si="2"/>
        <v>2700</v>
      </c>
      <c r="D14" s="58">
        <v>0</v>
      </c>
      <c r="E14" s="58">
        <v>0</v>
      </c>
      <c r="F14" s="58">
        <v>0</v>
      </c>
      <c r="G14" s="58">
        <v>0</v>
      </c>
      <c r="H14" s="58">
        <v>0</v>
      </c>
      <c r="I14" s="58">
        <f>15000*20%*90%</f>
        <v>2700</v>
      </c>
      <c r="J14" s="58">
        <v>0</v>
      </c>
      <c r="K14" s="58">
        <v>0</v>
      </c>
      <c r="L14" s="58">
        <v>0</v>
      </c>
      <c r="M14" s="58">
        <v>0</v>
      </c>
      <c r="N14" s="58">
        <v>0</v>
      </c>
      <c r="O14" s="58">
        <v>0</v>
      </c>
      <c r="P14" s="58">
        <v>0</v>
      </c>
      <c r="Q14" s="58">
        <v>0</v>
      </c>
      <c r="R14" s="58">
        <v>0</v>
      </c>
      <c r="S14" s="58">
        <v>0</v>
      </c>
      <c r="T14" s="58">
        <v>0</v>
      </c>
      <c r="U14" s="58">
        <v>0</v>
      </c>
      <c r="V14" s="58">
        <v>0</v>
      </c>
    </row>
    <row r="15" spans="1:25" s="59" customFormat="1" ht="22.5" customHeight="1">
      <c r="A15" s="56" t="s">
        <v>175</v>
      </c>
      <c r="B15" s="57" t="s">
        <v>21</v>
      </c>
      <c r="C15" s="104">
        <f t="shared" si="2"/>
        <v>148</v>
      </c>
      <c r="D15" s="58">
        <v>10</v>
      </c>
      <c r="E15" s="58">
        <v>3</v>
      </c>
      <c r="F15" s="58">
        <v>5</v>
      </c>
      <c r="G15" s="58">
        <v>5</v>
      </c>
      <c r="H15" s="58">
        <v>10</v>
      </c>
      <c r="I15" s="58">
        <v>50</v>
      </c>
      <c r="J15" s="58">
        <v>10</v>
      </c>
      <c r="K15" s="58">
        <v>5</v>
      </c>
      <c r="L15" s="58">
        <v>7</v>
      </c>
      <c r="M15" s="58">
        <v>4</v>
      </c>
      <c r="N15" s="58">
        <v>2</v>
      </c>
      <c r="O15" s="58">
        <v>2</v>
      </c>
      <c r="P15" s="58">
        <v>2</v>
      </c>
      <c r="Q15" s="58">
        <v>5</v>
      </c>
      <c r="R15" s="58">
        <v>5</v>
      </c>
      <c r="S15" s="58">
        <v>5</v>
      </c>
      <c r="T15" s="58">
        <v>8</v>
      </c>
      <c r="U15" s="58">
        <v>5</v>
      </c>
      <c r="V15" s="58">
        <v>5</v>
      </c>
    </row>
    <row r="16" spans="1:25" s="59" customFormat="1" ht="22.5" customHeight="1">
      <c r="A16" s="56" t="s">
        <v>176</v>
      </c>
      <c r="B16" s="57" t="s">
        <v>177</v>
      </c>
      <c r="C16" s="104">
        <f t="shared" si="2"/>
        <v>100</v>
      </c>
      <c r="D16" s="58">
        <v>10</v>
      </c>
      <c r="E16" s="58">
        <v>5</v>
      </c>
      <c r="F16" s="58">
        <v>5</v>
      </c>
      <c r="G16" s="58">
        <v>20</v>
      </c>
      <c r="H16" s="58">
        <v>0</v>
      </c>
      <c r="I16" s="58">
        <v>10</v>
      </c>
      <c r="J16" s="58">
        <v>25</v>
      </c>
      <c r="K16" s="58">
        <v>0</v>
      </c>
      <c r="L16" s="58">
        <v>0</v>
      </c>
      <c r="M16" s="58">
        <v>0</v>
      </c>
      <c r="N16" s="58">
        <v>0</v>
      </c>
      <c r="O16" s="58">
        <v>5</v>
      </c>
      <c r="P16" s="58">
        <v>0</v>
      </c>
      <c r="Q16" s="58">
        <v>0</v>
      </c>
      <c r="R16" s="58">
        <v>0</v>
      </c>
      <c r="S16" s="58">
        <v>0</v>
      </c>
      <c r="T16" s="58">
        <v>0</v>
      </c>
      <c r="U16" s="58">
        <v>20</v>
      </c>
      <c r="V16" s="58">
        <v>0</v>
      </c>
    </row>
    <row r="17" spans="1:22" s="55" customFormat="1" ht="22.5" customHeight="1">
      <c r="A17" s="49" t="s">
        <v>4</v>
      </c>
      <c r="B17" s="54" t="s">
        <v>178</v>
      </c>
      <c r="C17" s="103">
        <f t="shared" si="2"/>
        <v>143741</v>
      </c>
      <c r="D17" s="53">
        <f>SUM(D18:D19)</f>
        <v>9113</v>
      </c>
      <c r="E17" s="53">
        <f t="shared" ref="E17:V17" si="5">SUM(E18:E19)</f>
        <v>7628</v>
      </c>
      <c r="F17" s="53">
        <f t="shared" si="5"/>
        <v>7246</v>
      </c>
      <c r="G17" s="53">
        <f t="shared" si="5"/>
        <v>8417</v>
      </c>
      <c r="H17" s="53">
        <f t="shared" si="5"/>
        <v>7465</v>
      </c>
      <c r="I17" s="53">
        <f t="shared" si="5"/>
        <v>4473</v>
      </c>
      <c r="J17" s="53">
        <f t="shared" si="5"/>
        <v>8338</v>
      </c>
      <c r="K17" s="53">
        <f t="shared" si="5"/>
        <v>8165</v>
      </c>
      <c r="L17" s="53">
        <f t="shared" si="5"/>
        <v>7896</v>
      </c>
      <c r="M17" s="53">
        <f t="shared" si="5"/>
        <v>7799</v>
      </c>
      <c r="N17" s="53">
        <f t="shared" si="5"/>
        <v>7264</v>
      </c>
      <c r="O17" s="53">
        <f t="shared" si="5"/>
        <v>7228</v>
      </c>
      <c r="P17" s="53">
        <f t="shared" si="5"/>
        <v>7335</v>
      </c>
      <c r="Q17" s="53">
        <f t="shared" si="5"/>
        <v>7405</v>
      </c>
      <c r="R17" s="53">
        <f t="shared" si="5"/>
        <v>7815</v>
      </c>
      <c r="S17" s="53">
        <f t="shared" si="5"/>
        <v>7066</v>
      </c>
      <c r="T17" s="53">
        <f t="shared" si="5"/>
        <v>7402</v>
      </c>
      <c r="U17" s="53">
        <f t="shared" si="5"/>
        <v>8312</v>
      </c>
      <c r="V17" s="53">
        <f t="shared" si="5"/>
        <v>7374</v>
      </c>
    </row>
    <row r="18" spans="1:22" s="59" customFormat="1" ht="22.5" customHeight="1">
      <c r="A18" s="60" t="s">
        <v>167</v>
      </c>
      <c r="B18" s="57" t="s">
        <v>108</v>
      </c>
      <c r="C18" s="104">
        <f t="shared" si="2"/>
        <v>88891</v>
      </c>
      <c r="D18" s="58">
        <f>D20-D7-D43</f>
        <v>6072</v>
      </c>
      <c r="E18" s="58">
        <f t="shared" ref="E18:V18" si="6">E20-E7-E43</f>
        <v>4417</v>
      </c>
      <c r="F18" s="58">
        <f t="shared" si="6"/>
        <v>4360</v>
      </c>
      <c r="G18" s="58">
        <f t="shared" si="6"/>
        <v>5312</v>
      </c>
      <c r="H18" s="58">
        <f t="shared" si="6"/>
        <v>4549</v>
      </c>
      <c r="I18" s="58">
        <f t="shared" si="6"/>
        <v>4473</v>
      </c>
      <c r="J18" s="58">
        <f t="shared" si="6"/>
        <v>5065</v>
      </c>
      <c r="K18" s="58">
        <f t="shared" si="6"/>
        <v>5129</v>
      </c>
      <c r="L18" s="58">
        <f t="shared" si="6"/>
        <v>4803</v>
      </c>
      <c r="M18" s="58">
        <f t="shared" si="6"/>
        <v>4464</v>
      </c>
      <c r="N18" s="58">
        <f t="shared" si="6"/>
        <v>4343</v>
      </c>
      <c r="O18" s="58">
        <f t="shared" si="6"/>
        <v>4213</v>
      </c>
      <c r="P18" s="58">
        <f t="shared" si="6"/>
        <v>4472</v>
      </c>
      <c r="Q18" s="58">
        <f t="shared" si="6"/>
        <v>4458</v>
      </c>
      <c r="R18" s="58">
        <f t="shared" si="6"/>
        <v>4730</v>
      </c>
      <c r="S18" s="58">
        <f t="shared" si="6"/>
        <v>3963</v>
      </c>
      <c r="T18" s="58">
        <f t="shared" si="6"/>
        <v>4523</v>
      </c>
      <c r="U18" s="58">
        <f t="shared" si="6"/>
        <v>5157</v>
      </c>
      <c r="V18" s="58">
        <f t="shared" si="6"/>
        <v>4388</v>
      </c>
    </row>
    <row r="19" spans="1:22" s="59" customFormat="1" ht="22.5" customHeight="1">
      <c r="A19" s="60" t="s">
        <v>168</v>
      </c>
      <c r="B19" s="57" t="s">
        <v>179</v>
      </c>
      <c r="C19" s="104">
        <f t="shared" si="2"/>
        <v>54850</v>
      </c>
      <c r="D19" s="58">
        <f>D43</f>
        <v>3041</v>
      </c>
      <c r="E19" s="58">
        <f t="shared" ref="E19:V19" si="7">E43</f>
        <v>3211</v>
      </c>
      <c r="F19" s="58">
        <f t="shared" si="7"/>
        <v>2886</v>
      </c>
      <c r="G19" s="58">
        <f t="shared" si="7"/>
        <v>3105</v>
      </c>
      <c r="H19" s="58">
        <f t="shared" si="7"/>
        <v>2916</v>
      </c>
      <c r="I19" s="58">
        <f t="shared" si="7"/>
        <v>0</v>
      </c>
      <c r="J19" s="58">
        <f t="shared" si="7"/>
        <v>3273</v>
      </c>
      <c r="K19" s="58">
        <f t="shared" si="7"/>
        <v>3036</v>
      </c>
      <c r="L19" s="58">
        <f t="shared" si="7"/>
        <v>3093</v>
      </c>
      <c r="M19" s="58">
        <f t="shared" si="7"/>
        <v>3335</v>
      </c>
      <c r="N19" s="58">
        <f t="shared" si="7"/>
        <v>2921</v>
      </c>
      <c r="O19" s="58">
        <f t="shared" si="7"/>
        <v>3015</v>
      </c>
      <c r="P19" s="58">
        <f t="shared" si="7"/>
        <v>2863</v>
      </c>
      <c r="Q19" s="58">
        <f t="shared" si="7"/>
        <v>2947</v>
      </c>
      <c r="R19" s="58">
        <f t="shared" si="7"/>
        <v>3085</v>
      </c>
      <c r="S19" s="58">
        <f t="shared" si="7"/>
        <v>3103</v>
      </c>
      <c r="T19" s="58">
        <f t="shared" si="7"/>
        <v>2879</v>
      </c>
      <c r="U19" s="58">
        <f t="shared" si="7"/>
        <v>3155</v>
      </c>
      <c r="V19" s="58">
        <f t="shared" si="7"/>
        <v>2986</v>
      </c>
    </row>
    <row r="20" spans="1:22" s="48" customFormat="1" ht="22.5" customHeight="1">
      <c r="A20" s="49" t="s">
        <v>2</v>
      </c>
      <c r="B20" s="52" t="s">
        <v>180</v>
      </c>
      <c r="C20" s="103">
        <f t="shared" si="2"/>
        <v>147721</v>
      </c>
      <c r="D20" s="53">
        <f t="shared" ref="D20:V20" si="8">+D21+D23+D42+D43</f>
        <v>9218</v>
      </c>
      <c r="E20" s="53">
        <f t="shared" si="8"/>
        <v>7656</v>
      </c>
      <c r="F20" s="53">
        <f t="shared" si="8"/>
        <v>7291</v>
      </c>
      <c r="G20" s="53">
        <f t="shared" si="8"/>
        <v>8512</v>
      </c>
      <c r="H20" s="53">
        <f t="shared" si="8"/>
        <v>7515</v>
      </c>
      <c r="I20" s="53">
        <f t="shared" si="8"/>
        <v>7718</v>
      </c>
      <c r="J20" s="53">
        <f t="shared" si="8"/>
        <v>8428</v>
      </c>
      <c r="K20" s="53">
        <f t="shared" si="8"/>
        <v>8195</v>
      </c>
      <c r="L20" s="53">
        <f t="shared" si="8"/>
        <v>7936</v>
      </c>
      <c r="M20" s="53">
        <f t="shared" si="8"/>
        <v>7819</v>
      </c>
      <c r="N20" s="53">
        <f t="shared" si="8"/>
        <v>7294</v>
      </c>
      <c r="O20" s="53">
        <f t="shared" si="8"/>
        <v>7245</v>
      </c>
      <c r="P20" s="53">
        <f t="shared" si="8"/>
        <v>7352</v>
      </c>
      <c r="Q20" s="53">
        <f t="shared" si="8"/>
        <v>7425</v>
      </c>
      <c r="R20" s="53">
        <f t="shared" si="8"/>
        <v>7830</v>
      </c>
      <c r="S20" s="53">
        <f t="shared" si="8"/>
        <v>7081</v>
      </c>
      <c r="T20" s="53">
        <f t="shared" si="8"/>
        <v>7425</v>
      </c>
      <c r="U20" s="53">
        <f t="shared" si="8"/>
        <v>8382</v>
      </c>
      <c r="V20" s="53">
        <f t="shared" si="8"/>
        <v>7399</v>
      </c>
    </row>
    <row r="21" spans="1:22" s="55" customFormat="1" ht="22.5" customHeight="1">
      <c r="A21" s="49" t="s">
        <v>107</v>
      </c>
      <c r="B21" s="54" t="s">
        <v>181</v>
      </c>
      <c r="C21" s="103">
        <f t="shared" si="2"/>
        <v>2700</v>
      </c>
      <c r="D21" s="53">
        <f>D22</f>
        <v>0</v>
      </c>
      <c r="E21" s="53">
        <f t="shared" ref="E21:V21" si="9">E22</f>
        <v>0</v>
      </c>
      <c r="F21" s="53">
        <f t="shared" si="9"/>
        <v>0</v>
      </c>
      <c r="G21" s="53">
        <f t="shared" si="9"/>
        <v>0</v>
      </c>
      <c r="H21" s="53">
        <f t="shared" si="9"/>
        <v>0</v>
      </c>
      <c r="I21" s="53">
        <f t="shared" si="9"/>
        <v>2700</v>
      </c>
      <c r="J21" s="53">
        <f t="shared" si="9"/>
        <v>0</v>
      </c>
      <c r="K21" s="53">
        <f t="shared" si="9"/>
        <v>0</v>
      </c>
      <c r="L21" s="53">
        <f t="shared" si="9"/>
        <v>0</v>
      </c>
      <c r="M21" s="53">
        <f t="shared" si="9"/>
        <v>0</v>
      </c>
      <c r="N21" s="53">
        <f t="shared" si="9"/>
        <v>0</v>
      </c>
      <c r="O21" s="53">
        <f t="shared" si="9"/>
        <v>0</v>
      </c>
      <c r="P21" s="53">
        <f t="shared" si="9"/>
        <v>0</v>
      </c>
      <c r="Q21" s="53">
        <f t="shared" si="9"/>
        <v>0</v>
      </c>
      <c r="R21" s="53">
        <f t="shared" si="9"/>
        <v>0</v>
      </c>
      <c r="S21" s="53">
        <f t="shared" si="9"/>
        <v>0</v>
      </c>
      <c r="T21" s="53">
        <f t="shared" si="9"/>
        <v>0</v>
      </c>
      <c r="U21" s="53">
        <f t="shared" si="9"/>
        <v>0</v>
      </c>
      <c r="V21" s="53">
        <f t="shared" si="9"/>
        <v>0</v>
      </c>
    </row>
    <row r="22" spans="1:22" ht="22.5" customHeight="1">
      <c r="A22" s="60" t="s">
        <v>182</v>
      </c>
      <c r="B22" s="61" t="s">
        <v>183</v>
      </c>
      <c r="C22" s="104">
        <f t="shared" si="2"/>
        <v>2700</v>
      </c>
      <c r="D22" s="58"/>
      <c r="E22" s="58"/>
      <c r="F22" s="58"/>
      <c r="G22" s="58"/>
      <c r="H22" s="58"/>
      <c r="I22" s="58">
        <f>I14</f>
        <v>2700</v>
      </c>
      <c r="J22" s="58"/>
      <c r="K22" s="58"/>
      <c r="L22" s="58"/>
      <c r="M22" s="58"/>
      <c r="N22" s="58"/>
      <c r="O22" s="58"/>
      <c r="P22" s="58"/>
      <c r="Q22" s="58"/>
      <c r="R22" s="58"/>
      <c r="S22" s="58"/>
      <c r="T22" s="58"/>
      <c r="U22" s="58"/>
      <c r="V22" s="58"/>
    </row>
    <row r="23" spans="1:22" s="55" customFormat="1" ht="22.5" customHeight="1">
      <c r="A23" s="49" t="s">
        <v>4</v>
      </c>
      <c r="B23" s="54" t="s">
        <v>184</v>
      </c>
      <c r="C23" s="103">
        <f t="shared" si="2"/>
        <v>88312</v>
      </c>
      <c r="D23" s="53">
        <f>+D24+D28+D30+D31+D41+D33+D34+D32+D38</f>
        <v>6053</v>
      </c>
      <c r="E23" s="53">
        <f t="shared" ref="E23:V23" si="10">+E24+E28+E30+E31+E41+E33+E34+E32+E38</f>
        <v>4356</v>
      </c>
      <c r="F23" s="53">
        <f t="shared" si="10"/>
        <v>4317</v>
      </c>
      <c r="G23" s="53">
        <f t="shared" si="10"/>
        <v>5299</v>
      </c>
      <c r="H23" s="53">
        <f t="shared" si="10"/>
        <v>4507</v>
      </c>
      <c r="I23" s="53">
        <f t="shared" si="10"/>
        <v>4864</v>
      </c>
      <c r="J23" s="53">
        <f t="shared" si="10"/>
        <v>5052</v>
      </c>
      <c r="K23" s="53">
        <f t="shared" si="10"/>
        <v>5056</v>
      </c>
      <c r="L23" s="53">
        <f t="shared" si="10"/>
        <v>4746</v>
      </c>
      <c r="M23" s="53">
        <f t="shared" si="10"/>
        <v>4394</v>
      </c>
      <c r="N23" s="53">
        <f t="shared" si="10"/>
        <v>4286</v>
      </c>
      <c r="O23" s="53">
        <f t="shared" si="10"/>
        <v>4145</v>
      </c>
      <c r="P23" s="53">
        <f t="shared" si="10"/>
        <v>4399</v>
      </c>
      <c r="Q23" s="53">
        <f t="shared" si="10"/>
        <v>4388</v>
      </c>
      <c r="R23" s="53">
        <f t="shared" si="10"/>
        <v>4650</v>
      </c>
      <c r="S23" s="53">
        <f t="shared" si="10"/>
        <v>3898</v>
      </c>
      <c r="T23" s="53">
        <f t="shared" si="10"/>
        <v>4455</v>
      </c>
      <c r="U23" s="53">
        <f t="shared" si="10"/>
        <v>5122</v>
      </c>
      <c r="V23" s="53">
        <f t="shared" si="10"/>
        <v>4325</v>
      </c>
    </row>
    <row r="24" spans="1:22" s="55" customFormat="1" ht="22.5" customHeight="1">
      <c r="A24" s="62">
        <v>1</v>
      </c>
      <c r="B24" s="63" t="s">
        <v>185</v>
      </c>
      <c r="C24" s="103">
        <f t="shared" si="2"/>
        <v>4228</v>
      </c>
      <c r="D24" s="53">
        <v>350</v>
      </c>
      <c r="E24" s="53">
        <v>194</v>
      </c>
      <c r="F24" s="53">
        <v>187</v>
      </c>
      <c r="G24" s="53">
        <v>278</v>
      </c>
      <c r="H24" s="53">
        <v>225</v>
      </c>
      <c r="I24" s="53">
        <v>310</v>
      </c>
      <c r="J24" s="53">
        <v>253</v>
      </c>
      <c r="K24" s="53">
        <v>230</v>
      </c>
      <c r="L24" s="53">
        <v>243</v>
      </c>
      <c r="M24" s="53">
        <v>191</v>
      </c>
      <c r="N24" s="53">
        <v>200</v>
      </c>
      <c r="O24" s="53">
        <v>171</v>
      </c>
      <c r="P24" s="53">
        <v>170</v>
      </c>
      <c r="Q24" s="53">
        <v>192</v>
      </c>
      <c r="R24" s="53">
        <v>228</v>
      </c>
      <c r="S24" s="53">
        <v>158</v>
      </c>
      <c r="T24" s="53">
        <v>203</v>
      </c>
      <c r="U24" s="53">
        <v>264</v>
      </c>
      <c r="V24" s="53">
        <v>181</v>
      </c>
    </row>
    <row r="25" spans="1:22" ht="22.5" customHeight="1">
      <c r="A25" s="64"/>
      <c r="B25" s="65" t="s">
        <v>186</v>
      </c>
      <c r="C25" s="104">
        <f t="shared" si="2"/>
        <v>1582</v>
      </c>
      <c r="D25" s="58">
        <v>170</v>
      </c>
      <c r="E25" s="58">
        <v>72</v>
      </c>
      <c r="F25" s="58">
        <v>63</v>
      </c>
      <c r="G25" s="58">
        <v>116</v>
      </c>
      <c r="H25" s="58">
        <v>80</v>
      </c>
      <c r="I25" s="58">
        <v>134</v>
      </c>
      <c r="J25" s="58">
        <v>107</v>
      </c>
      <c r="K25" s="58">
        <v>89</v>
      </c>
      <c r="L25" s="58">
        <v>89</v>
      </c>
      <c r="M25" s="58">
        <v>63</v>
      </c>
      <c r="N25" s="58">
        <v>63</v>
      </c>
      <c r="O25" s="58">
        <v>54</v>
      </c>
      <c r="P25" s="58">
        <v>54</v>
      </c>
      <c r="Q25" s="58">
        <v>62</v>
      </c>
      <c r="R25" s="58">
        <v>89</v>
      </c>
      <c r="S25" s="58">
        <v>45</v>
      </c>
      <c r="T25" s="58">
        <v>71</v>
      </c>
      <c r="U25" s="58">
        <v>107</v>
      </c>
      <c r="V25" s="58">
        <v>54</v>
      </c>
    </row>
    <row r="26" spans="1:22" ht="22.5" customHeight="1">
      <c r="A26" s="66"/>
      <c r="B26" s="65" t="s">
        <v>187</v>
      </c>
      <c r="C26" s="104">
        <f t="shared" si="2"/>
        <v>100</v>
      </c>
      <c r="D26" s="58"/>
      <c r="E26" s="58">
        <v>20</v>
      </c>
      <c r="F26" s="58"/>
      <c r="G26" s="58">
        <v>20</v>
      </c>
      <c r="H26" s="58">
        <v>20</v>
      </c>
      <c r="I26" s="58"/>
      <c r="J26" s="58"/>
      <c r="K26" s="58"/>
      <c r="L26" s="58"/>
      <c r="M26" s="58">
        <v>20</v>
      </c>
      <c r="N26" s="58">
        <v>20</v>
      </c>
      <c r="O26" s="58"/>
      <c r="P26" s="58"/>
      <c r="Q26" s="58"/>
      <c r="R26" s="58"/>
      <c r="S26" s="58"/>
      <c r="T26" s="58"/>
      <c r="U26" s="58"/>
      <c r="V26" s="58"/>
    </row>
    <row r="27" spans="1:22" ht="22.5" customHeight="1">
      <c r="A27" s="64"/>
      <c r="B27" s="65" t="s">
        <v>188</v>
      </c>
      <c r="C27" s="104">
        <f t="shared" si="2"/>
        <v>1149</v>
      </c>
      <c r="D27" s="58">
        <v>81</v>
      </c>
      <c r="E27" s="58">
        <v>59</v>
      </c>
      <c r="F27" s="58">
        <v>57</v>
      </c>
      <c r="G27" s="58">
        <v>63</v>
      </c>
      <c r="H27" s="58">
        <v>61</v>
      </c>
      <c r="I27" s="58">
        <v>68</v>
      </c>
      <c r="J27" s="58">
        <v>66</v>
      </c>
      <c r="K27" s="58">
        <v>63</v>
      </c>
      <c r="L27" s="58">
        <v>64</v>
      </c>
      <c r="M27" s="58">
        <v>56</v>
      </c>
      <c r="N27" s="58">
        <v>57</v>
      </c>
      <c r="O27" s="58">
        <v>54</v>
      </c>
      <c r="P27" s="58">
        <v>54</v>
      </c>
      <c r="Q27" s="58">
        <v>56</v>
      </c>
      <c r="R27" s="58">
        <v>62</v>
      </c>
      <c r="S27" s="58">
        <v>54</v>
      </c>
      <c r="T27" s="58">
        <v>58</v>
      </c>
      <c r="U27" s="58">
        <v>62</v>
      </c>
      <c r="V27" s="58">
        <v>54</v>
      </c>
    </row>
    <row r="28" spans="1:22" ht="22.5" customHeight="1">
      <c r="A28" s="67">
        <v>2</v>
      </c>
      <c r="B28" s="63" t="s">
        <v>229</v>
      </c>
      <c r="C28" s="103">
        <f>SUM(D28:V28)</f>
        <v>1867</v>
      </c>
      <c r="D28" s="53">
        <v>185</v>
      </c>
      <c r="E28" s="53">
        <v>87</v>
      </c>
      <c r="F28" s="53">
        <v>78</v>
      </c>
      <c r="G28" s="53">
        <v>131</v>
      </c>
      <c r="H28" s="53">
        <v>95</v>
      </c>
      <c r="I28" s="53">
        <v>149</v>
      </c>
      <c r="J28" s="53">
        <v>122</v>
      </c>
      <c r="K28" s="53">
        <v>104</v>
      </c>
      <c r="L28" s="53">
        <v>104</v>
      </c>
      <c r="M28" s="53">
        <v>78</v>
      </c>
      <c r="N28" s="53">
        <v>78</v>
      </c>
      <c r="O28" s="53">
        <v>69</v>
      </c>
      <c r="P28" s="53">
        <v>69</v>
      </c>
      <c r="Q28" s="53">
        <v>77</v>
      </c>
      <c r="R28" s="53">
        <v>104</v>
      </c>
      <c r="S28" s="53">
        <v>60</v>
      </c>
      <c r="T28" s="53">
        <v>86</v>
      </c>
      <c r="U28" s="53">
        <v>122</v>
      </c>
      <c r="V28" s="53">
        <v>69</v>
      </c>
    </row>
    <row r="29" spans="1:22" ht="41.25" customHeight="1">
      <c r="A29" s="67"/>
      <c r="B29" s="65" t="s">
        <v>228</v>
      </c>
      <c r="C29" s="103">
        <f t="shared" ref="C29" si="11">SUM(D29:V29)</f>
        <v>1582</v>
      </c>
      <c r="D29" s="53">
        <v>170</v>
      </c>
      <c r="E29" s="53">
        <v>72</v>
      </c>
      <c r="F29" s="53">
        <v>63</v>
      </c>
      <c r="G29" s="53">
        <v>116</v>
      </c>
      <c r="H29" s="53">
        <v>80</v>
      </c>
      <c r="I29" s="53">
        <v>134</v>
      </c>
      <c r="J29" s="53">
        <v>107</v>
      </c>
      <c r="K29" s="53">
        <v>89</v>
      </c>
      <c r="L29" s="53">
        <v>89</v>
      </c>
      <c r="M29" s="53">
        <v>63</v>
      </c>
      <c r="N29" s="53">
        <v>63</v>
      </c>
      <c r="O29" s="53">
        <v>54</v>
      </c>
      <c r="P29" s="53">
        <v>54</v>
      </c>
      <c r="Q29" s="53">
        <v>62</v>
      </c>
      <c r="R29" s="53">
        <v>89</v>
      </c>
      <c r="S29" s="53">
        <v>45</v>
      </c>
      <c r="T29" s="53">
        <v>71</v>
      </c>
      <c r="U29" s="53">
        <v>107</v>
      </c>
      <c r="V29" s="53">
        <v>54</v>
      </c>
    </row>
    <row r="30" spans="1:22" s="55" customFormat="1" ht="22.5" customHeight="1">
      <c r="A30" s="68">
        <v>3</v>
      </c>
      <c r="B30" s="54" t="s">
        <v>217</v>
      </c>
      <c r="C30" s="103">
        <f t="shared" si="2"/>
        <v>1000</v>
      </c>
      <c r="D30" s="53">
        <v>55</v>
      </c>
      <c r="E30" s="53">
        <v>55</v>
      </c>
      <c r="F30" s="53">
        <v>55</v>
      </c>
      <c r="G30" s="53">
        <v>55</v>
      </c>
      <c r="H30" s="53">
        <v>55</v>
      </c>
      <c r="I30" s="53">
        <v>55</v>
      </c>
      <c r="J30" s="53">
        <v>55</v>
      </c>
      <c r="K30" s="53">
        <v>55</v>
      </c>
      <c r="L30" s="53">
        <v>50</v>
      </c>
      <c r="M30" s="53">
        <v>55</v>
      </c>
      <c r="N30" s="53">
        <v>55</v>
      </c>
      <c r="O30" s="53">
        <v>50</v>
      </c>
      <c r="P30" s="53">
        <v>50</v>
      </c>
      <c r="Q30" s="53">
        <v>50</v>
      </c>
      <c r="R30" s="53">
        <v>50</v>
      </c>
      <c r="S30" s="53">
        <v>50</v>
      </c>
      <c r="T30" s="53">
        <v>50</v>
      </c>
      <c r="U30" s="53">
        <v>50</v>
      </c>
      <c r="V30" s="53">
        <v>50</v>
      </c>
    </row>
    <row r="31" spans="1:22" s="55" customFormat="1" ht="22.5" customHeight="1">
      <c r="A31" s="68">
        <v>4</v>
      </c>
      <c r="B31" s="54" t="s">
        <v>189</v>
      </c>
      <c r="C31" s="103">
        <f t="shared" si="2"/>
        <v>1900</v>
      </c>
      <c r="D31" s="53">
        <v>174</v>
      </c>
      <c r="E31" s="53">
        <v>93</v>
      </c>
      <c r="F31" s="53">
        <v>72</v>
      </c>
      <c r="G31" s="53">
        <v>123</v>
      </c>
      <c r="H31" s="53">
        <v>102</v>
      </c>
      <c r="I31" s="53">
        <v>120</v>
      </c>
      <c r="J31" s="53">
        <v>127</v>
      </c>
      <c r="K31" s="53">
        <v>110</v>
      </c>
      <c r="L31" s="53">
        <v>110</v>
      </c>
      <c r="M31" s="53">
        <v>85</v>
      </c>
      <c r="N31" s="53">
        <v>85</v>
      </c>
      <c r="O31" s="53">
        <v>76</v>
      </c>
      <c r="P31" s="53">
        <v>76</v>
      </c>
      <c r="Q31" s="53">
        <v>85</v>
      </c>
      <c r="R31" s="53">
        <v>110</v>
      </c>
      <c r="S31" s="53">
        <v>68</v>
      </c>
      <c r="T31" s="53">
        <v>93</v>
      </c>
      <c r="U31" s="53">
        <v>115</v>
      </c>
      <c r="V31" s="53">
        <v>76</v>
      </c>
    </row>
    <row r="32" spans="1:22" s="55" customFormat="1" ht="22.5" customHeight="1">
      <c r="A32" s="68">
        <v>5</v>
      </c>
      <c r="B32" s="54" t="s">
        <v>80</v>
      </c>
      <c r="C32" s="103">
        <f t="shared" ref="C32:C41" si="12">SUM(D32:V32)</f>
        <v>285</v>
      </c>
      <c r="D32" s="53">
        <v>15</v>
      </c>
      <c r="E32" s="53">
        <v>15</v>
      </c>
      <c r="F32" s="53">
        <v>15</v>
      </c>
      <c r="G32" s="53">
        <v>15</v>
      </c>
      <c r="H32" s="53">
        <v>15</v>
      </c>
      <c r="I32" s="53">
        <v>15</v>
      </c>
      <c r="J32" s="53">
        <v>15</v>
      </c>
      <c r="K32" s="53">
        <v>15</v>
      </c>
      <c r="L32" s="53">
        <v>15</v>
      </c>
      <c r="M32" s="53">
        <v>15</v>
      </c>
      <c r="N32" s="53">
        <v>15</v>
      </c>
      <c r="O32" s="53">
        <v>15</v>
      </c>
      <c r="P32" s="53">
        <v>15</v>
      </c>
      <c r="Q32" s="53">
        <v>15</v>
      </c>
      <c r="R32" s="53">
        <v>15</v>
      </c>
      <c r="S32" s="53">
        <v>15</v>
      </c>
      <c r="T32" s="53">
        <v>15</v>
      </c>
      <c r="U32" s="53">
        <v>15</v>
      </c>
      <c r="V32" s="53">
        <v>15</v>
      </c>
    </row>
    <row r="33" spans="1:22" s="48" customFormat="1" ht="22.5" customHeight="1">
      <c r="A33" s="68">
        <v>6</v>
      </c>
      <c r="B33" s="54" t="s">
        <v>191</v>
      </c>
      <c r="C33" s="103">
        <f t="shared" si="12"/>
        <v>2055</v>
      </c>
      <c r="D33" s="53">
        <v>117</v>
      </c>
      <c r="E33" s="53">
        <v>100</v>
      </c>
      <c r="F33" s="53">
        <v>117</v>
      </c>
      <c r="G33" s="53">
        <v>117</v>
      </c>
      <c r="H33" s="53">
        <v>109</v>
      </c>
      <c r="I33" s="53">
        <v>76</v>
      </c>
      <c r="J33" s="53">
        <v>100</v>
      </c>
      <c r="K33" s="53">
        <v>117</v>
      </c>
      <c r="L33" s="53">
        <v>109</v>
      </c>
      <c r="M33" s="53">
        <v>105</v>
      </c>
      <c r="N33" s="53">
        <v>117</v>
      </c>
      <c r="O33" s="53">
        <v>109</v>
      </c>
      <c r="P33" s="53">
        <v>105</v>
      </c>
      <c r="Q33" s="53">
        <v>109</v>
      </c>
      <c r="R33" s="53">
        <v>100</v>
      </c>
      <c r="S33" s="53">
        <v>100</v>
      </c>
      <c r="T33" s="53">
        <v>117</v>
      </c>
      <c r="U33" s="53">
        <v>109</v>
      </c>
      <c r="V33" s="53">
        <v>122</v>
      </c>
    </row>
    <row r="34" spans="1:22" s="48" customFormat="1" ht="22.5" customHeight="1">
      <c r="A34" s="69">
        <v>7</v>
      </c>
      <c r="B34" s="54" t="s">
        <v>192</v>
      </c>
      <c r="C34" s="103">
        <f t="shared" si="12"/>
        <v>71885</v>
      </c>
      <c r="D34" s="53">
        <f>+D35+D36+D37-D39</f>
        <v>4700</v>
      </c>
      <c r="E34" s="53">
        <f t="shared" ref="E34:V34" si="13">+E35+E36+E37-E39</f>
        <v>3562</v>
      </c>
      <c r="F34" s="53">
        <f t="shared" si="13"/>
        <v>3519</v>
      </c>
      <c r="G34" s="53">
        <f t="shared" si="13"/>
        <v>4243</v>
      </c>
      <c r="H34" s="53">
        <f t="shared" si="13"/>
        <v>3673</v>
      </c>
      <c r="I34" s="53">
        <f t="shared" si="13"/>
        <v>3941</v>
      </c>
      <c r="J34" s="53">
        <f t="shared" si="13"/>
        <v>4078</v>
      </c>
      <c r="K34" s="53">
        <f t="shared" si="13"/>
        <v>4112</v>
      </c>
      <c r="L34" s="53">
        <f t="shared" si="13"/>
        <v>3863</v>
      </c>
      <c r="M34" s="53">
        <f t="shared" si="13"/>
        <v>3603</v>
      </c>
      <c r="N34" s="53">
        <f t="shared" si="13"/>
        <v>3527</v>
      </c>
      <c r="O34" s="53">
        <f t="shared" si="13"/>
        <v>3421</v>
      </c>
      <c r="P34" s="53">
        <f t="shared" si="13"/>
        <v>3594</v>
      </c>
      <c r="Q34" s="53">
        <f t="shared" si="13"/>
        <v>3610</v>
      </c>
      <c r="R34" s="53">
        <f t="shared" si="13"/>
        <v>3829</v>
      </c>
      <c r="S34" s="53">
        <f t="shared" si="13"/>
        <v>3227</v>
      </c>
      <c r="T34" s="53">
        <f t="shared" si="13"/>
        <v>3582</v>
      </c>
      <c r="U34" s="53">
        <f t="shared" si="13"/>
        <v>4238</v>
      </c>
      <c r="V34" s="53">
        <f t="shared" si="13"/>
        <v>3563</v>
      </c>
    </row>
    <row r="35" spans="1:22" s="59" customFormat="1" ht="22.5" customHeight="1">
      <c r="A35" s="70"/>
      <c r="B35" s="61" t="s">
        <v>193</v>
      </c>
      <c r="C35" s="104">
        <f t="shared" si="12"/>
        <v>60482</v>
      </c>
      <c r="D35" s="58">
        <v>4115</v>
      </c>
      <c r="E35" s="58">
        <v>2986</v>
      </c>
      <c r="F35" s="58">
        <v>2943</v>
      </c>
      <c r="G35" s="58">
        <v>3658</v>
      </c>
      <c r="H35" s="58">
        <v>3052</v>
      </c>
      <c r="I35" s="58">
        <v>3392</v>
      </c>
      <c r="J35" s="58">
        <v>3439</v>
      </c>
      <c r="K35" s="58">
        <v>3473</v>
      </c>
      <c r="L35" s="58">
        <v>3278</v>
      </c>
      <c r="M35" s="58">
        <v>2982</v>
      </c>
      <c r="N35" s="58">
        <v>2897</v>
      </c>
      <c r="O35" s="58">
        <v>2791</v>
      </c>
      <c r="P35" s="58">
        <v>2955</v>
      </c>
      <c r="Q35" s="58">
        <v>3034</v>
      </c>
      <c r="R35" s="58">
        <v>3154</v>
      </c>
      <c r="S35" s="58">
        <v>2669</v>
      </c>
      <c r="T35" s="58">
        <v>3006</v>
      </c>
      <c r="U35" s="58">
        <v>3653</v>
      </c>
      <c r="V35" s="58">
        <v>3005</v>
      </c>
    </row>
    <row r="36" spans="1:22" s="59" customFormat="1" ht="39.75" customHeight="1">
      <c r="A36" s="70"/>
      <c r="B36" s="61" t="s">
        <v>218</v>
      </c>
      <c r="C36" s="104">
        <f t="shared" si="12"/>
        <v>513</v>
      </c>
      <c r="D36" s="58">
        <v>27</v>
      </c>
      <c r="E36" s="58">
        <v>27</v>
      </c>
      <c r="F36" s="58">
        <v>27</v>
      </c>
      <c r="G36" s="58">
        <v>27</v>
      </c>
      <c r="H36" s="58">
        <v>27</v>
      </c>
      <c r="I36" s="58">
        <v>27</v>
      </c>
      <c r="J36" s="58">
        <v>27</v>
      </c>
      <c r="K36" s="58">
        <v>27</v>
      </c>
      <c r="L36" s="58">
        <v>27</v>
      </c>
      <c r="M36" s="58">
        <v>27</v>
      </c>
      <c r="N36" s="58">
        <v>27</v>
      </c>
      <c r="O36" s="58">
        <v>27</v>
      </c>
      <c r="P36" s="58">
        <v>27</v>
      </c>
      <c r="Q36" s="58">
        <v>27</v>
      </c>
      <c r="R36" s="58">
        <v>27</v>
      </c>
      <c r="S36" s="58">
        <v>27</v>
      </c>
      <c r="T36" s="58">
        <v>27</v>
      </c>
      <c r="U36" s="58">
        <v>27</v>
      </c>
      <c r="V36" s="58">
        <v>27</v>
      </c>
    </row>
    <row r="37" spans="1:22" s="59" customFormat="1" ht="22.5" customHeight="1">
      <c r="A37" s="70"/>
      <c r="B37" s="61" t="s">
        <v>196</v>
      </c>
      <c r="C37" s="104">
        <f t="shared" si="12"/>
        <v>12100</v>
      </c>
      <c r="D37" s="58">
        <v>620</v>
      </c>
      <c r="E37" s="58">
        <v>610</v>
      </c>
      <c r="F37" s="58">
        <v>610</v>
      </c>
      <c r="G37" s="58">
        <v>620</v>
      </c>
      <c r="H37" s="58">
        <v>660</v>
      </c>
      <c r="I37" s="58">
        <v>580</v>
      </c>
      <c r="J37" s="58">
        <v>680</v>
      </c>
      <c r="K37" s="58">
        <v>680</v>
      </c>
      <c r="L37" s="58">
        <v>620</v>
      </c>
      <c r="M37" s="58">
        <v>660</v>
      </c>
      <c r="N37" s="58">
        <v>670</v>
      </c>
      <c r="O37" s="58">
        <v>670</v>
      </c>
      <c r="P37" s="58">
        <v>680</v>
      </c>
      <c r="Q37" s="58">
        <v>610</v>
      </c>
      <c r="R37" s="58">
        <v>720</v>
      </c>
      <c r="S37" s="58">
        <v>590</v>
      </c>
      <c r="T37" s="58">
        <v>610</v>
      </c>
      <c r="U37" s="58">
        <v>620</v>
      </c>
      <c r="V37" s="58">
        <v>590</v>
      </c>
    </row>
    <row r="38" spans="1:22" s="48" customFormat="1" ht="22.5" customHeight="1">
      <c r="A38" s="71">
        <v>8</v>
      </c>
      <c r="B38" s="54" t="s">
        <v>241</v>
      </c>
      <c r="C38" s="103">
        <f>SUM(D38:V38)</f>
        <v>3473</v>
      </c>
      <c r="D38" s="53">
        <f>D39+D40</f>
        <v>181</v>
      </c>
      <c r="E38" s="53">
        <f t="shared" ref="E38:V38" si="14">E39+E40</f>
        <v>185</v>
      </c>
      <c r="F38" s="53">
        <f t="shared" si="14"/>
        <v>184</v>
      </c>
      <c r="G38" s="53">
        <f t="shared" si="14"/>
        <v>185</v>
      </c>
      <c r="H38" s="53">
        <f t="shared" si="14"/>
        <v>194</v>
      </c>
      <c r="I38" s="53">
        <f t="shared" si="14"/>
        <v>58</v>
      </c>
      <c r="J38" s="53">
        <f t="shared" si="14"/>
        <v>193</v>
      </c>
      <c r="K38" s="53">
        <f t="shared" si="14"/>
        <v>198</v>
      </c>
      <c r="L38" s="53">
        <f t="shared" si="14"/>
        <v>188</v>
      </c>
      <c r="M38" s="53">
        <f t="shared" si="14"/>
        <v>192</v>
      </c>
      <c r="N38" s="53">
        <f t="shared" si="14"/>
        <v>195</v>
      </c>
      <c r="O38" s="53">
        <f t="shared" si="14"/>
        <v>197</v>
      </c>
      <c r="P38" s="53">
        <f t="shared" si="14"/>
        <v>193</v>
      </c>
      <c r="Q38" s="53">
        <f t="shared" si="14"/>
        <v>185</v>
      </c>
      <c r="R38" s="53">
        <f t="shared" si="14"/>
        <v>206</v>
      </c>
      <c r="S38" s="53">
        <f t="shared" si="14"/>
        <v>188</v>
      </c>
      <c r="T38" s="53">
        <f t="shared" si="14"/>
        <v>184</v>
      </c>
      <c r="U38" s="53">
        <f t="shared" si="14"/>
        <v>185</v>
      </c>
      <c r="V38" s="53">
        <f t="shared" si="14"/>
        <v>182</v>
      </c>
    </row>
    <row r="39" spans="1:22" s="59" customFormat="1" ht="22.5" customHeight="1">
      <c r="A39" s="70"/>
      <c r="B39" s="61" t="s">
        <v>296</v>
      </c>
      <c r="C39" s="104">
        <f t="shared" ref="C39:C40" si="15">SUM(D39:V39)</f>
        <v>1210</v>
      </c>
      <c r="D39" s="58">
        <v>62</v>
      </c>
      <c r="E39" s="58">
        <v>61</v>
      </c>
      <c r="F39" s="58">
        <v>61</v>
      </c>
      <c r="G39" s="58">
        <v>62</v>
      </c>
      <c r="H39" s="58">
        <v>66</v>
      </c>
      <c r="I39" s="58">
        <v>58</v>
      </c>
      <c r="J39" s="58">
        <v>68</v>
      </c>
      <c r="K39" s="58">
        <v>68</v>
      </c>
      <c r="L39" s="58">
        <v>62</v>
      </c>
      <c r="M39" s="58">
        <v>66</v>
      </c>
      <c r="N39" s="58">
        <v>67</v>
      </c>
      <c r="O39" s="58">
        <v>67</v>
      </c>
      <c r="P39" s="58">
        <v>68</v>
      </c>
      <c r="Q39" s="58">
        <v>61</v>
      </c>
      <c r="R39" s="58">
        <v>72</v>
      </c>
      <c r="S39" s="58">
        <v>59</v>
      </c>
      <c r="T39" s="58">
        <v>61</v>
      </c>
      <c r="U39" s="58">
        <v>62</v>
      </c>
      <c r="V39" s="58">
        <v>59</v>
      </c>
    </row>
    <row r="40" spans="1:22" s="59" customFormat="1" ht="22.5" customHeight="1">
      <c r="A40" s="70"/>
      <c r="B40" s="61" t="s">
        <v>297</v>
      </c>
      <c r="C40" s="104">
        <f t="shared" si="15"/>
        <v>2263</v>
      </c>
      <c r="D40" s="58">
        <v>119</v>
      </c>
      <c r="E40" s="58">
        <v>124</v>
      </c>
      <c r="F40" s="58">
        <v>123</v>
      </c>
      <c r="G40" s="58">
        <v>123</v>
      </c>
      <c r="H40" s="58">
        <v>128</v>
      </c>
      <c r="I40" s="58"/>
      <c r="J40" s="58">
        <v>125</v>
      </c>
      <c r="K40" s="58">
        <v>130</v>
      </c>
      <c r="L40" s="58">
        <v>126</v>
      </c>
      <c r="M40" s="58">
        <v>126</v>
      </c>
      <c r="N40" s="58">
        <v>128</v>
      </c>
      <c r="O40" s="58">
        <v>130</v>
      </c>
      <c r="P40" s="58">
        <v>125</v>
      </c>
      <c r="Q40" s="58">
        <v>124</v>
      </c>
      <c r="R40" s="58">
        <v>134</v>
      </c>
      <c r="S40" s="58">
        <v>129</v>
      </c>
      <c r="T40" s="58">
        <v>123</v>
      </c>
      <c r="U40" s="58">
        <v>123</v>
      </c>
      <c r="V40" s="58">
        <v>123</v>
      </c>
    </row>
    <row r="41" spans="1:22" s="55" customFormat="1" ht="22.5" customHeight="1">
      <c r="A41" s="68">
        <v>9</v>
      </c>
      <c r="B41" s="54" t="s">
        <v>190</v>
      </c>
      <c r="C41" s="103">
        <f t="shared" si="12"/>
        <v>1619</v>
      </c>
      <c r="D41" s="53">
        <v>276</v>
      </c>
      <c r="E41" s="53">
        <v>65</v>
      </c>
      <c r="F41" s="53">
        <v>90</v>
      </c>
      <c r="G41" s="53">
        <v>152</v>
      </c>
      <c r="H41" s="53">
        <v>39</v>
      </c>
      <c r="I41" s="53">
        <v>140</v>
      </c>
      <c r="J41" s="53">
        <v>109</v>
      </c>
      <c r="K41" s="53">
        <v>115</v>
      </c>
      <c r="L41" s="53">
        <v>64</v>
      </c>
      <c r="M41" s="53">
        <v>70</v>
      </c>
      <c r="N41" s="53">
        <v>14</v>
      </c>
      <c r="O41" s="53">
        <v>37</v>
      </c>
      <c r="P41" s="53">
        <v>127</v>
      </c>
      <c r="Q41" s="53">
        <v>65</v>
      </c>
      <c r="R41" s="53">
        <v>8</v>
      </c>
      <c r="S41" s="53">
        <v>32</v>
      </c>
      <c r="T41" s="53">
        <v>125</v>
      </c>
      <c r="U41" s="53">
        <v>24</v>
      </c>
      <c r="V41" s="53">
        <v>67</v>
      </c>
    </row>
    <row r="42" spans="1:22" s="48" customFormat="1" ht="22.5" customHeight="1">
      <c r="A42" s="49" t="s">
        <v>95</v>
      </c>
      <c r="B42" s="54" t="s">
        <v>194</v>
      </c>
      <c r="C42" s="53">
        <f>SUM(D42:V42)</f>
        <v>1859</v>
      </c>
      <c r="D42" s="53">
        <v>124</v>
      </c>
      <c r="E42" s="53">
        <v>89</v>
      </c>
      <c r="F42" s="53">
        <v>88</v>
      </c>
      <c r="G42" s="53">
        <v>108</v>
      </c>
      <c r="H42" s="53">
        <v>92</v>
      </c>
      <c r="I42" s="53">
        <v>154</v>
      </c>
      <c r="J42" s="53">
        <v>103</v>
      </c>
      <c r="K42" s="53">
        <v>103</v>
      </c>
      <c r="L42" s="53">
        <v>97</v>
      </c>
      <c r="M42" s="53">
        <v>90</v>
      </c>
      <c r="N42" s="53">
        <v>87</v>
      </c>
      <c r="O42" s="53">
        <v>85</v>
      </c>
      <c r="P42" s="53">
        <v>90</v>
      </c>
      <c r="Q42" s="53">
        <v>90</v>
      </c>
      <c r="R42" s="53">
        <v>95</v>
      </c>
      <c r="S42" s="53">
        <v>80</v>
      </c>
      <c r="T42" s="53">
        <v>91</v>
      </c>
      <c r="U42" s="53">
        <v>105</v>
      </c>
      <c r="V42" s="53">
        <v>88</v>
      </c>
    </row>
    <row r="43" spans="1:22" ht="22.5" customHeight="1">
      <c r="A43" s="148" t="s">
        <v>295</v>
      </c>
      <c r="B43" s="149" t="s">
        <v>243</v>
      </c>
      <c r="C43" s="150">
        <f>SUM(D43:V43)</f>
        <v>54850</v>
      </c>
      <c r="D43" s="150">
        <f>+D44+D59</f>
        <v>3041</v>
      </c>
      <c r="E43" s="150">
        <f t="shared" ref="E43:V43" si="16">+E44+E59</f>
        <v>3211</v>
      </c>
      <c r="F43" s="150">
        <f t="shared" si="16"/>
        <v>2886</v>
      </c>
      <c r="G43" s="150">
        <f t="shared" si="16"/>
        <v>3105</v>
      </c>
      <c r="H43" s="150">
        <f t="shared" si="16"/>
        <v>2916</v>
      </c>
      <c r="I43" s="150">
        <f t="shared" si="16"/>
        <v>0</v>
      </c>
      <c r="J43" s="150">
        <f t="shared" si="16"/>
        <v>3273</v>
      </c>
      <c r="K43" s="150">
        <f t="shared" si="16"/>
        <v>3036</v>
      </c>
      <c r="L43" s="150">
        <f t="shared" si="16"/>
        <v>3093</v>
      </c>
      <c r="M43" s="150">
        <f t="shared" si="16"/>
        <v>3335</v>
      </c>
      <c r="N43" s="150">
        <f t="shared" si="16"/>
        <v>2921</v>
      </c>
      <c r="O43" s="150">
        <f t="shared" si="16"/>
        <v>3015</v>
      </c>
      <c r="P43" s="150">
        <f t="shared" si="16"/>
        <v>2863</v>
      </c>
      <c r="Q43" s="150">
        <f t="shared" si="16"/>
        <v>2947</v>
      </c>
      <c r="R43" s="150">
        <f t="shared" si="16"/>
        <v>3085</v>
      </c>
      <c r="S43" s="150">
        <f t="shared" si="16"/>
        <v>3103</v>
      </c>
      <c r="T43" s="150">
        <f t="shared" si="16"/>
        <v>2879</v>
      </c>
      <c r="U43" s="150">
        <f t="shared" si="16"/>
        <v>3155</v>
      </c>
      <c r="V43" s="150">
        <f t="shared" si="16"/>
        <v>2986</v>
      </c>
    </row>
    <row r="44" spans="1:22" ht="22.5" customHeight="1">
      <c r="A44" s="148">
        <v>1</v>
      </c>
      <c r="B44" s="149" t="s">
        <v>244</v>
      </c>
      <c r="C44" s="150">
        <f>SUM(D44:V44)</f>
        <v>51645</v>
      </c>
      <c r="D44" s="150">
        <f>+D45+D51+D56</f>
        <v>2784</v>
      </c>
      <c r="E44" s="150">
        <f t="shared" ref="E44:V44" si="17">+E45+E51+E56</f>
        <v>2816</v>
      </c>
      <c r="F44" s="150">
        <f t="shared" si="17"/>
        <v>2824</v>
      </c>
      <c r="G44" s="150">
        <f t="shared" si="17"/>
        <v>2850</v>
      </c>
      <c r="H44" s="150">
        <f t="shared" si="17"/>
        <v>2916</v>
      </c>
      <c r="I44" s="150">
        <f t="shared" si="17"/>
        <v>0</v>
      </c>
      <c r="J44" s="150">
        <f t="shared" si="17"/>
        <v>2854</v>
      </c>
      <c r="K44" s="150">
        <f t="shared" si="17"/>
        <v>2999</v>
      </c>
      <c r="L44" s="150">
        <f t="shared" si="17"/>
        <v>2897</v>
      </c>
      <c r="M44" s="150">
        <f t="shared" si="17"/>
        <v>2836</v>
      </c>
      <c r="N44" s="150">
        <f t="shared" si="17"/>
        <v>2921</v>
      </c>
      <c r="O44" s="150">
        <f t="shared" si="17"/>
        <v>2942</v>
      </c>
      <c r="P44" s="150">
        <f t="shared" si="17"/>
        <v>2827</v>
      </c>
      <c r="Q44" s="150">
        <f t="shared" si="17"/>
        <v>2794</v>
      </c>
      <c r="R44" s="150">
        <f t="shared" si="17"/>
        <v>3036</v>
      </c>
      <c r="S44" s="150">
        <f t="shared" si="17"/>
        <v>2935</v>
      </c>
      <c r="T44" s="150">
        <f t="shared" si="17"/>
        <v>2778</v>
      </c>
      <c r="U44" s="150">
        <f t="shared" si="17"/>
        <v>2853</v>
      </c>
      <c r="V44" s="150">
        <f t="shared" si="17"/>
        <v>2783</v>
      </c>
    </row>
    <row r="45" spans="1:22" ht="39.75" customHeight="1">
      <c r="A45" s="148" t="s">
        <v>245</v>
      </c>
      <c r="B45" s="149" t="s">
        <v>240</v>
      </c>
      <c r="C45" s="150">
        <f t="shared" ref="C45:C47" si="18">SUM(D45:V45)</f>
        <v>35534</v>
      </c>
      <c r="D45" s="150">
        <f>D46</f>
        <v>1786</v>
      </c>
      <c r="E45" s="150">
        <f t="shared" ref="E45:V45" si="19">E46</f>
        <v>1968</v>
      </c>
      <c r="F45" s="150">
        <f t="shared" si="19"/>
        <v>1907</v>
      </c>
      <c r="G45" s="150">
        <f t="shared" si="19"/>
        <v>1852</v>
      </c>
      <c r="H45" s="150">
        <f t="shared" si="19"/>
        <v>1999</v>
      </c>
      <c r="I45" s="150">
        <f t="shared" si="19"/>
        <v>0</v>
      </c>
      <c r="J45" s="150">
        <f t="shared" si="19"/>
        <v>1965</v>
      </c>
      <c r="K45" s="150">
        <f t="shared" si="19"/>
        <v>2014</v>
      </c>
      <c r="L45" s="150">
        <f t="shared" si="19"/>
        <v>1939</v>
      </c>
      <c r="M45" s="150">
        <f t="shared" si="19"/>
        <v>2015</v>
      </c>
      <c r="N45" s="150">
        <f t="shared" si="19"/>
        <v>2004</v>
      </c>
      <c r="O45" s="150">
        <f t="shared" si="19"/>
        <v>2067</v>
      </c>
      <c r="P45" s="150">
        <f t="shared" si="19"/>
        <v>2006</v>
      </c>
      <c r="Q45" s="150">
        <f t="shared" si="19"/>
        <v>2001</v>
      </c>
      <c r="R45" s="150">
        <f t="shared" si="19"/>
        <v>2147</v>
      </c>
      <c r="S45" s="150">
        <f t="shared" si="19"/>
        <v>2060</v>
      </c>
      <c r="T45" s="150">
        <f t="shared" si="19"/>
        <v>1958</v>
      </c>
      <c r="U45" s="150">
        <f t="shared" si="19"/>
        <v>1855</v>
      </c>
      <c r="V45" s="150">
        <f t="shared" si="19"/>
        <v>1991</v>
      </c>
    </row>
    <row r="46" spans="1:22" ht="22.5" customHeight="1">
      <c r="A46" s="148" t="s">
        <v>298</v>
      </c>
      <c r="B46" s="149" t="s">
        <v>13</v>
      </c>
      <c r="C46" s="150">
        <f t="shared" si="18"/>
        <v>35534</v>
      </c>
      <c r="D46" s="150">
        <f>D47+D49</f>
        <v>1786</v>
      </c>
      <c r="E46" s="150">
        <f t="shared" ref="E46:V46" si="20">E47+E49</f>
        <v>1968</v>
      </c>
      <c r="F46" s="150">
        <f t="shared" si="20"/>
        <v>1907</v>
      </c>
      <c r="G46" s="150">
        <f t="shared" si="20"/>
        <v>1852</v>
      </c>
      <c r="H46" s="150">
        <f t="shared" si="20"/>
        <v>1999</v>
      </c>
      <c r="I46" s="150">
        <f t="shared" si="20"/>
        <v>0</v>
      </c>
      <c r="J46" s="150">
        <f t="shared" si="20"/>
        <v>1965</v>
      </c>
      <c r="K46" s="150">
        <f t="shared" si="20"/>
        <v>2014</v>
      </c>
      <c r="L46" s="150">
        <f t="shared" si="20"/>
        <v>1939</v>
      </c>
      <c r="M46" s="150">
        <f t="shared" si="20"/>
        <v>2015</v>
      </c>
      <c r="N46" s="150">
        <f t="shared" si="20"/>
        <v>2004</v>
      </c>
      <c r="O46" s="150">
        <f t="shared" si="20"/>
        <v>2067</v>
      </c>
      <c r="P46" s="150">
        <f t="shared" si="20"/>
        <v>2006</v>
      </c>
      <c r="Q46" s="150">
        <f t="shared" si="20"/>
        <v>2001</v>
      </c>
      <c r="R46" s="150">
        <f t="shared" si="20"/>
        <v>2147</v>
      </c>
      <c r="S46" s="150">
        <f t="shared" si="20"/>
        <v>2060</v>
      </c>
      <c r="T46" s="150">
        <f t="shared" si="20"/>
        <v>1958</v>
      </c>
      <c r="U46" s="150">
        <f t="shared" si="20"/>
        <v>1855</v>
      </c>
      <c r="V46" s="150">
        <f t="shared" si="20"/>
        <v>1991</v>
      </c>
    </row>
    <row r="47" spans="1:22" ht="68.25" customHeight="1">
      <c r="A47" s="148"/>
      <c r="B47" s="149" t="s">
        <v>250</v>
      </c>
      <c r="C47" s="150">
        <f t="shared" si="18"/>
        <v>30274</v>
      </c>
      <c r="D47" s="150">
        <f t="shared" ref="D47:V47" si="21">D48</f>
        <v>1522</v>
      </c>
      <c r="E47" s="150">
        <f t="shared" si="21"/>
        <v>1677</v>
      </c>
      <c r="F47" s="150">
        <f t="shared" si="21"/>
        <v>1625</v>
      </c>
      <c r="G47" s="150">
        <f t="shared" si="21"/>
        <v>1578</v>
      </c>
      <c r="H47" s="150">
        <f t="shared" si="21"/>
        <v>1703</v>
      </c>
      <c r="I47" s="150">
        <f t="shared" si="21"/>
        <v>0</v>
      </c>
      <c r="J47" s="150">
        <f t="shared" si="21"/>
        <v>1674</v>
      </c>
      <c r="K47" s="150">
        <f t="shared" si="21"/>
        <v>1716</v>
      </c>
      <c r="L47" s="150">
        <f t="shared" si="21"/>
        <v>1652</v>
      </c>
      <c r="M47" s="150">
        <f t="shared" si="21"/>
        <v>1717</v>
      </c>
      <c r="N47" s="150">
        <f t="shared" si="21"/>
        <v>1707</v>
      </c>
      <c r="O47" s="150">
        <f t="shared" si="21"/>
        <v>1761</v>
      </c>
      <c r="P47" s="150">
        <f t="shared" si="21"/>
        <v>1709</v>
      </c>
      <c r="Q47" s="150">
        <f t="shared" si="21"/>
        <v>1705</v>
      </c>
      <c r="R47" s="150">
        <f t="shared" si="21"/>
        <v>1829</v>
      </c>
      <c r="S47" s="150">
        <f t="shared" si="21"/>
        <v>1755</v>
      </c>
      <c r="T47" s="150">
        <f t="shared" si="21"/>
        <v>1668</v>
      </c>
      <c r="U47" s="150">
        <f t="shared" si="21"/>
        <v>1580</v>
      </c>
      <c r="V47" s="150">
        <f t="shared" si="21"/>
        <v>1696</v>
      </c>
    </row>
    <row r="48" spans="1:22" ht="77.25" customHeight="1">
      <c r="A48" s="151"/>
      <c r="B48" s="152" t="s">
        <v>251</v>
      </c>
      <c r="C48" s="153">
        <f t="shared" ref="C48:C53" si="22">SUM(D48:V48)</f>
        <v>30274</v>
      </c>
      <c r="D48" s="153">
        <v>1522</v>
      </c>
      <c r="E48" s="153">
        <v>1677</v>
      </c>
      <c r="F48" s="153">
        <v>1625</v>
      </c>
      <c r="G48" s="153">
        <v>1578</v>
      </c>
      <c r="H48" s="153">
        <v>1703</v>
      </c>
      <c r="I48" s="153"/>
      <c r="J48" s="153">
        <v>1674</v>
      </c>
      <c r="K48" s="153">
        <v>1716</v>
      </c>
      <c r="L48" s="153">
        <v>1652</v>
      </c>
      <c r="M48" s="153">
        <v>1717</v>
      </c>
      <c r="N48" s="153">
        <v>1707</v>
      </c>
      <c r="O48" s="153">
        <v>1761</v>
      </c>
      <c r="P48" s="153">
        <v>1709</v>
      </c>
      <c r="Q48" s="153">
        <v>1705</v>
      </c>
      <c r="R48" s="153">
        <v>1829</v>
      </c>
      <c r="S48" s="153">
        <v>1755</v>
      </c>
      <c r="T48" s="153">
        <v>1668</v>
      </c>
      <c r="U48" s="153">
        <v>1580</v>
      </c>
      <c r="V48" s="153">
        <v>1696</v>
      </c>
    </row>
    <row r="49" spans="1:34" ht="67.5" customHeight="1">
      <c r="A49" s="148"/>
      <c r="B49" s="149" t="s">
        <v>252</v>
      </c>
      <c r="C49" s="150">
        <f t="shared" si="22"/>
        <v>5260</v>
      </c>
      <c r="D49" s="150">
        <f t="shared" ref="D49:V49" si="23">D50</f>
        <v>264</v>
      </c>
      <c r="E49" s="150">
        <f t="shared" si="23"/>
        <v>291</v>
      </c>
      <c r="F49" s="150">
        <f t="shared" si="23"/>
        <v>282</v>
      </c>
      <c r="G49" s="150">
        <f t="shared" si="23"/>
        <v>274</v>
      </c>
      <c r="H49" s="150">
        <f t="shared" si="23"/>
        <v>296</v>
      </c>
      <c r="I49" s="150">
        <f t="shared" si="23"/>
        <v>0</v>
      </c>
      <c r="J49" s="150">
        <f t="shared" si="23"/>
        <v>291</v>
      </c>
      <c r="K49" s="150">
        <f t="shared" si="23"/>
        <v>298</v>
      </c>
      <c r="L49" s="150">
        <f t="shared" si="23"/>
        <v>287</v>
      </c>
      <c r="M49" s="150">
        <f t="shared" si="23"/>
        <v>298</v>
      </c>
      <c r="N49" s="150">
        <f t="shared" si="23"/>
        <v>297</v>
      </c>
      <c r="O49" s="150">
        <f t="shared" si="23"/>
        <v>306</v>
      </c>
      <c r="P49" s="150">
        <f t="shared" si="23"/>
        <v>297</v>
      </c>
      <c r="Q49" s="150">
        <f t="shared" si="23"/>
        <v>296</v>
      </c>
      <c r="R49" s="150">
        <f t="shared" si="23"/>
        <v>318</v>
      </c>
      <c r="S49" s="150">
        <f t="shared" si="23"/>
        <v>305</v>
      </c>
      <c r="T49" s="150">
        <f t="shared" si="23"/>
        <v>290</v>
      </c>
      <c r="U49" s="150">
        <f t="shared" si="23"/>
        <v>275</v>
      </c>
      <c r="V49" s="150">
        <f t="shared" si="23"/>
        <v>295</v>
      </c>
    </row>
    <row r="50" spans="1:34" ht="67.5" customHeight="1">
      <c r="A50" s="151"/>
      <c r="B50" s="152" t="s">
        <v>253</v>
      </c>
      <c r="C50" s="153">
        <f t="shared" si="22"/>
        <v>5260</v>
      </c>
      <c r="D50" s="153">
        <v>264</v>
      </c>
      <c r="E50" s="153">
        <v>291</v>
      </c>
      <c r="F50" s="153">
        <v>282</v>
      </c>
      <c r="G50" s="153">
        <v>274</v>
      </c>
      <c r="H50" s="153">
        <v>296</v>
      </c>
      <c r="I50" s="153"/>
      <c r="J50" s="153">
        <v>291</v>
      </c>
      <c r="K50" s="153">
        <v>298</v>
      </c>
      <c r="L50" s="153">
        <v>287</v>
      </c>
      <c r="M50" s="153">
        <v>298</v>
      </c>
      <c r="N50" s="153">
        <v>297</v>
      </c>
      <c r="O50" s="153">
        <v>306</v>
      </c>
      <c r="P50" s="153">
        <v>297</v>
      </c>
      <c r="Q50" s="153">
        <v>296</v>
      </c>
      <c r="R50" s="153">
        <v>318</v>
      </c>
      <c r="S50" s="153">
        <v>305</v>
      </c>
      <c r="T50" s="153">
        <v>290</v>
      </c>
      <c r="U50" s="153">
        <v>275</v>
      </c>
      <c r="V50" s="153">
        <v>295</v>
      </c>
    </row>
    <row r="51" spans="1:34" ht="22.5" customHeight="1">
      <c r="A51" s="148" t="s">
        <v>246</v>
      </c>
      <c r="B51" s="149" t="s">
        <v>265</v>
      </c>
      <c r="C51" s="150">
        <f t="shared" si="22"/>
        <v>15931</v>
      </c>
      <c r="D51" s="150">
        <f>D52</f>
        <v>988</v>
      </c>
      <c r="E51" s="150">
        <f t="shared" ref="E51:V51" si="24">E52</f>
        <v>838</v>
      </c>
      <c r="F51" s="150">
        <f t="shared" si="24"/>
        <v>907</v>
      </c>
      <c r="G51" s="150">
        <f t="shared" si="24"/>
        <v>988</v>
      </c>
      <c r="H51" s="150">
        <f t="shared" si="24"/>
        <v>907</v>
      </c>
      <c r="I51" s="150">
        <f t="shared" si="24"/>
        <v>0</v>
      </c>
      <c r="J51" s="150">
        <f t="shared" si="24"/>
        <v>879</v>
      </c>
      <c r="K51" s="150">
        <f t="shared" si="24"/>
        <v>975</v>
      </c>
      <c r="L51" s="150">
        <f t="shared" si="24"/>
        <v>948</v>
      </c>
      <c r="M51" s="150">
        <f t="shared" si="24"/>
        <v>811</v>
      </c>
      <c r="N51" s="150">
        <f t="shared" si="24"/>
        <v>907</v>
      </c>
      <c r="O51" s="150">
        <f t="shared" si="24"/>
        <v>865</v>
      </c>
      <c r="P51" s="150">
        <f t="shared" si="24"/>
        <v>811</v>
      </c>
      <c r="Q51" s="150">
        <f t="shared" si="24"/>
        <v>783</v>
      </c>
      <c r="R51" s="150">
        <f t="shared" si="24"/>
        <v>879</v>
      </c>
      <c r="S51" s="150">
        <f t="shared" si="24"/>
        <v>865</v>
      </c>
      <c r="T51" s="150">
        <f t="shared" si="24"/>
        <v>810</v>
      </c>
      <c r="U51" s="150">
        <f t="shared" si="24"/>
        <v>988</v>
      </c>
      <c r="V51" s="150">
        <f t="shared" si="24"/>
        <v>782</v>
      </c>
    </row>
    <row r="52" spans="1:34" ht="22.5" customHeight="1">
      <c r="A52" s="148" t="s">
        <v>298</v>
      </c>
      <c r="B52" s="149" t="s">
        <v>13</v>
      </c>
      <c r="C52" s="150">
        <f t="shared" si="22"/>
        <v>15931</v>
      </c>
      <c r="D52" s="150">
        <f>+D53+D54</f>
        <v>988</v>
      </c>
      <c r="E52" s="150">
        <f t="shared" ref="E52:V52" si="25">+E53+E54</f>
        <v>838</v>
      </c>
      <c r="F52" s="150">
        <f t="shared" si="25"/>
        <v>907</v>
      </c>
      <c r="G52" s="150">
        <f t="shared" si="25"/>
        <v>988</v>
      </c>
      <c r="H52" s="150">
        <f t="shared" si="25"/>
        <v>907</v>
      </c>
      <c r="I52" s="150">
        <f t="shared" si="25"/>
        <v>0</v>
      </c>
      <c r="J52" s="150">
        <f t="shared" si="25"/>
        <v>879</v>
      </c>
      <c r="K52" s="150">
        <f t="shared" si="25"/>
        <v>975</v>
      </c>
      <c r="L52" s="150">
        <f t="shared" si="25"/>
        <v>948</v>
      </c>
      <c r="M52" s="150">
        <f t="shared" si="25"/>
        <v>811</v>
      </c>
      <c r="N52" s="150">
        <f t="shared" si="25"/>
        <v>907</v>
      </c>
      <c r="O52" s="150">
        <f t="shared" si="25"/>
        <v>865</v>
      </c>
      <c r="P52" s="150">
        <f t="shared" si="25"/>
        <v>811</v>
      </c>
      <c r="Q52" s="150">
        <f t="shared" si="25"/>
        <v>783</v>
      </c>
      <c r="R52" s="150">
        <f t="shared" si="25"/>
        <v>879</v>
      </c>
      <c r="S52" s="150">
        <f t="shared" si="25"/>
        <v>865</v>
      </c>
      <c r="T52" s="150">
        <f t="shared" si="25"/>
        <v>810</v>
      </c>
      <c r="U52" s="150">
        <f t="shared" si="25"/>
        <v>988</v>
      </c>
      <c r="V52" s="150">
        <f t="shared" si="25"/>
        <v>782</v>
      </c>
    </row>
    <row r="53" spans="1:34" ht="46.5" customHeight="1">
      <c r="A53" s="148"/>
      <c r="B53" s="149" t="s">
        <v>271</v>
      </c>
      <c r="C53" s="150">
        <f t="shared" si="22"/>
        <v>11123</v>
      </c>
      <c r="D53" s="150">
        <v>690</v>
      </c>
      <c r="E53" s="150">
        <v>585</v>
      </c>
      <c r="F53" s="150">
        <v>633</v>
      </c>
      <c r="G53" s="150">
        <v>690</v>
      </c>
      <c r="H53" s="150">
        <v>633</v>
      </c>
      <c r="I53" s="150"/>
      <c r="J53" s="150">
        <v>614</v>
      </c>
      <c r="K53" s="150">
        <v>681</v>
      </c>
      <c r="L53" s="150">
        <v>662</v>
      </c>
      <c r="M53" s="150">
        <v>566</v>
      </c>
      <c r="N53" s="150">
        <v>633</v>
      </c>
      <c r="O53" s="150">
        <v>604</v>
      </c>
      <c r="P53" s="150">
        <v>566</v>
      </c>
      <c r="Q53" s="150">
        <v>547</v>
      </c>
      <c r="R53" s="150">
        <v>614</v>
      </c>
      <c r="S53" s="150">
        <v>604</v>
      </c>
      <c r="T53" s="150">
        <v>565</v>
      </c>
      <c r="U53" s="150">
        <v>690</v>
      </c>
      <c r="V53" s="150">
        <v>546</v>
      </c>
    </row>
    <row r="54" spans="1:34" ht="46.5" customHeight="1">
      <c r="A54" s="148"/>
      <c r="B54" s="149" t="s">
        <v>272</v>
      </c>
      <c r="C54" s="150">
        <f>C55</f>
        <v>4808</v>
      </c>
      <c r="D54" s="150">
        <f t="shared" ref="D54:V54" si="26">D55</f>
        <v>298</v>
      </c>
      <c r="E54" s="150">
        <f t="shared" si="26"/>
        <v>253</v>
      </c>
      <c r="F54" s="150">
        <f t="shared" si="26"/>
        <v>274</v>
      </c>
      <c r="G54" s="150">
        <f t="shared" si="26"/>
        <v>298</v>
      </c>
      <c r="H54" s="150">
        <f t="shared" si="26"/>
        <v>274</v>
      </c>
      <c r="I54" s="150">
        <f t="shared" si="26"/>
        <v>0</v>
      </c>
      <c r="J54" s="150">
        <f t="shared" si="26"/>
        <v>265</v>
      </c>
      <c r="K54" s="150">
        <f t="shared" si="26"/>
        <v>294</v>
      </c>
      <c r="L54" s="150">
        <f t="shared" si="26"/>
        <v>286</v>
      </c>
      <c r="M54" s="150">
        <f t="shared" si="26"/>
        <v>245</v>
      </c>
      <c r="N54" s="150">
        <f t="shared" si="26"/>
        <v>274</v>
      </c>
      <c r="O54" s="150">
        <f t="shared" si="26"/>
        <v>261</v>
      </c>
      <c r="P54" s="150">
        <f t="shared" si="26"/>
        <v>245</v>
      </c>
      <c r="Q54" s="150">
        <f t="shared" si="26"/>
        <v>236</v>
      </c>
      <c r="R54" s="150">
        <f t="shared" si="26"/>
        <v>265</v>
      </c>
      <c r="S54" s="150">
        <f t="shared" si="26"/>
        <v>261</v>
      </c>
      <c r="T54" s="150">
        <f t="shared" si="26"/>
        <v>245</v>
      </c>
      <c r="U54" s="150">
        <f t="shared" si="26"/>
        <v>298</v>
      </c>
      <c r="V54" s="150">
        <f t="shared" si="26"/>
        <v>236</v>
      </c>
    </row>
    <row r="55" spans="1:34" ht="46.5" customHeight="1">
      <c r="A55" s="151"/>
      <c r="B55" s="152" t="s">
        <v>273</v>
      </c>
      <c r="C55" s="153">
        <f>SUM(D55:V55)</f>
        <v>4808</v>
      </c>
      <c r="D55" s="153">
        <v>298</v>
      </c>
      <c r="E55" s="153">
        <v>253</v>
      </c>
      <c r="F55" s="153">
        <v>274</v>
      </c>
      <c r="G55" s="153">
        <v>298</v>
      </c>
      <c r="H55" s="153">
        <v>274</v>
      </c>
      <c r="I55" s="153"/>
      <c r="J55" s="153">
        <v>265</v>
      </c>
      <c r="K55" s="153">
        <v>294</v>
      </c>
      <c r="L55" s="153">
        <v>286</v>
      </c>
      <c r="M55" s="153">
        <v>245</v>
      </c>
      <c r="N55" s="153">
        <v>274</v>
      </c>
      <c r="O55" s="153">
        <v>261</v>
      </c>
      <c r="P55" s="153">
        <v>245</v>
      </c>
      <c r="Q55" s="153">
        <v>236</v>
      </c>
      <c r="R55" s="153">
        <v>265</v>
      </c>
      <c r="S55" s="153">
        <v>261</v>
      </c>
      <c r="T55" s="153">
        <v>245</v>
      </c>
      <c r="U55" s="153">
        <v>298</v>
      </c>
      <c r="V55" s="153">
        <v>236</v>
      </c>
    </row>
    <row r="56" spans="1:34" ht="22.5" customHeight="1">
      <c r="A56" s="148" t="s">
        <v>246</v>
      </c>
      <c r="B56" s="149" t="s">
        <v>288</v>
      </c>
      <c r="C56" s="150">
        <f>SUM(D56:V56)</f>
        <v>180</v>
      </c>
      <c r="D56" s="150">
        <f>D57</f>
        <v>10</v>
      </c>
      <c r="E56" s="150">
        <f t="shared" ref="E56:V57" si="27">E57</f>
        <v>10</v>
      </c>
      <c r="F56" s="150">
        <f t="shared" si="27"/>
        <v>10</v>
      </c>
      <c r="G56" s="150">
        <f t="shared" si="27"/>
        <v>10</v>
      </c>
      <c r="H56" s="150">
        <f t="shared" si="27"/>
        <v>10</v>
      </c>
      <c r="I56" s="150">
        <f t="shared" si="27"/>
        <v>0</v>
      </c>
      <c r="J56" s="150">
        <f t="shared" si="27"/>
        <v>10</v>
      </c>
      <c r="K56" s="150">
        <f t="shared" si="27"/>
        <v>10</v>
      </c>
      <c r="L56" s="150">
        <f t="shared" si="27"/>
        <v>10</v>
      </c>
      <c r="M56" s="150">
        <f t="shared" si="27"/>
        <v>10</v>
      </c>
      <c r="N56" s="150">
        <f t="shared" si="27"/>
        <v>10</v>
      </c>
      <c r="O56" s="150">
        <f t="shared" si="27"/>
        <v>10</v>
      </c>
      <c r="P56" s="150">
        <f t="shared" si="27"/>
        <v>10</v>
      </c>
      <c r="Q56" s="150">
        <f t="shared" si="27"/>
        <v>10</v>
      </c>
      <c r="R56" s="150">
        <f t="shared" si="27"/>
        <v>10</v>
      </c>
      <c r="S56" s="150">
        <f t="shared" si="27"/>
        <v>10</v>
      </c>
      <c r="T56" s="150">
        <f t="shared" si="27"/>
        <v>10</v>
      </c>
      <c r="U56" s="150">
        <f t="shared" si="27"/>
        <v>10</v>
      </c>
      <c r="V56" s="150">
        <f t="shared" si="27"/>
        <v>10</v>
      </c>
    </row>
    <row r="57" spans="1:34" s="55" customFormat="1" ht="22.5" customHeight="1">
      <c r="A57" s="148" t="s">
        <v>298</v>
      </c>
      <c r="B57" s="149" t="s">
        <v>13</v>
      </c>
      <c r="C57" s="150">
        <f>SUM(D57:V57)</f>
        <v>180</v>
      </c>
      <c r="D57" s="150">
        <f>D58</f>
        <v>10</v>
      </c>
      <c r="E57" s="150">
        <f t="shared" si="27"/>
        <v>10</v>
      </c>
      <c r="F57" s="150">
        <f t="shared" si="27"/>
        <v>10</v>
      </c>
      <c r="G57" s="150">
        <f t="shared" si="27"/>
        <v>10</v>
      </c>
      <c r="H57" s="150">
        <f t="shared" si="27"/>
        <v>10</v>
      </c>
      <c r="I57" s="150">
        <f t="shared" si="27"/>
        <v>0</v>
      </c>
      <c r="J57" s="150">
        <f t="shared" si="27"/>
        <v>10</v>
      </c>
      <c r="K57" s="150">
        <f t="shared" si="27"/>
        <v>10</v>
      </c>
      <c r="L57" s="150">
        <f t="shared" si="27"/>
        <v>10</v>
      </c>
      <c r="M57" s="150">
        <f t="shared" si="27"/>
        <v>10</v>
      </c>
      <c r="N57" s="150">
        <f t="shared" si="27"/>
        <v>10</v>
      </c>
      <c r="O57" s="150">
        <f t="shared" si="27"/>
        <v>10</v>
      </c>
      <c r="P57" s="150">
        <f t="shared" si="27"/>
        <v>10</v>
      </c>
      <c r="Q57" s="150">
        <f t="shared" si="27"/>
        <v>10</v>
      </c>
      <c r="R57" s="150">
        <f t="shared" si="27"/>
        <v>10</v>
      </c>
      <c r="S57" s="150">
        <f t="shared" si="27"/>
        <v>10</v>
      </c>
      <c r="T57" s="150">
        <f t="shared" si="27"/>
        <v>10</v>
      </c>
      <c r="U57" s="150">
        <f t="shared" si="27"/>
        <v>10</v>
      </c>
      <c r="V57" s="150">
        <f t="shared" si="27"/>
        <v>10</v>
      </c>
    </row>
    <row r="58" spans="1:34" ht="43.5" customHeight="1">
      <c r="A58" s="151"/>
      <c r="B58" s="152" t="s">
        <v>290</v>
      </c>
      <c r="C58" s="153">
        <f>SUM(D58:V58)</f>
        <v>180</v>
      </c>
      <c r="D58" s="153">
        <v>10</v>
      </c>
      <c r="E58" s="153">
        <v>10</v>
      </c>
      <c r="F58" s="153">
        <v>10</v>
      </c>
      <c r="G58" s="153">
        <v>10</v>
      </c>
      <c r="H58" s="153">
        <v>10</v>
      </c>
      <c r="I58" s="153"/>
      <c r="J58" s="153">
        <v>10</v>
      </c>
      <c r="K58" s="153">
        <v>10</v>
      </c>
      <c r="L58" s="153">
        <v>10</v>
      </c>
      <c r="M58" s="153">
        <v>10</v>
      </c>
      <c r="N58" s="153">
        <v>10</v>
      </c>
      <c r="O58" s="153">
        <v>10</v>
      </c>
      <c r="P58" s="153">
        <v>10</v>
      </c>
      <c r="Q58" s="153">
        <v>10</v>
      </c>
      <c r="R58" s="153">
        <v>10</v>
      </c>
      <c r="S58" s="153">
        <v>10</v>
      </c>
      <c r="T58" s="153">
        <v>10</v>
      </c>
      <c r="U58" s="153">
        <v>10</v>
      </c>
      <c r="V58" s="153">
        <v>10</v>
      </c>
    </row>
    <row r="59" spans="1:34" ht="22.5" customHeight="1">
      <c r="A59" s="148">
        <v>2</v>
      </c>
      <c r="B59" s="149" t="s">
        <v>291</v>
      </c>
      <c r="C59" s="150">
        <f>C60</f>
        <v>3205</v>
      </c>
      <c r="D59" s="150">
        <f t="shared" ref="D59:V59" si="28">D60</f>
        <v>257</v>
      </c>
      <c r="E59" s="150">
        <f t="shared" si="28"/>
        <v>395</v>
      </c>
      <c r="F59" s="150">
        <f t="shared" si="28"/>
        <v>62</v>
      </c>
      <c r="G59" s="150">
        <f t="shared" si="28"/>
        <v>255</v>
      </c>
      <c r="H59" s="150">
        <f t="shared" si="28"/>
        <v>0</v>
      </c>
      <c r="I59" s="150">
        <f t="shared" si="28"/>
        <v>0</v>
      </c>
      <c r="J59" s="150">
        <f t="shared" si="28"/>
        <v>419</v>
      </c>
      <c r="K59" s="150">
        <f t="shared" si="28"/>
        <v>37</v>
      </c>
      <c r="L59" s="150">
        <f t="shared" si="28"/>
        <v>196</v>
      </c>
      <c r="M59" s="150">
        <f t="shared" si="28"/>
        <v>499</v>
      </c>
      <c r="N59" s="150">
        <f t="shared" si="28"/>
        <v>0</v>
      </c>
      <c r="O59" s="150">
        <f t="shared" si="28"/>
        <v>73</v>
      </c>
      <c r="P59" s="150">
        <f t="shared" si="28"/>
        <v>36</v>
      </c>
      <c r="Q59" s="150">
        <f t="shared" si="28"/>
        <v>153</v>
      </c>
      <c r="R59" s="150">
        <f t="shared" si="28"/>
        <v>49</v>
      </c>
      <c r="S59" s="150">
        <f t="shared" si="28"/>
        <v>168</v>
      </c>
      <c r="T59" s="150">
        <f t="shared" si="28"/>
        <v>101</v>
      </c>
      <c r="U59" s="150">
        <f t="shared" si="28"/>
        <v>302</v>
      </c>
      <c r="V59" s="150">
        <f t="shared" si="28"/>
        <v>203</v>
      </c>
    </row>
    <row r="60" spans="1:34" ht="41.25" customHeight="1">
      <c r="A60" s="151" t="s">
        <v>266</v>
      </c>
      <c r="B60" s="152" t="s">
        <v>292</v>
      </c>
      <c r="C60" s="153">
        <f>SUM(D60:V60)</f>
        <v>3205</v>
      </c>
      <c r="D60" s="153">
        <f>+D61</f>
        <v>257</v>
      </c>
      <c r="E60" s="153">
        <f t="shared" ref="E60:V60" si="29">+E61</f>
        <v>395</v>
      </c>
      <c r="F60" s="153">
        <f t="shared" si="29"/>
        <v>62</v>
      </c>
      <c r="G60" s="153">
        <f t="shared" si="29"/>
        <v>255</v>
      </c>
      <c r="H60" s="153">
        <f t="shared" si="29"/>
        <v>0</v>
      </c>
      <c r="I60" s="153">
        <f t="shared" si="29"/>
        <v>0</v>
      </c>
      <c r="J60" s="153">
        <f t="shared" si="29"/>
        <v>419</v>
      </c>
      <c r="K60" s="153">
        <f t="shared" si="29"/>
        <v>37</v>
      </c>
      <c r="L60" s="153">
        <f t="shared" si="29"/>
        <v>196</v>
      </c>
      <c r="M60" s="153">
        <f t="shared" si="29"/>
        <v>499</v>
      </c>
      <c r="N60" s="153">
        <f t="shared" si="29"/>
        <v>0</v>
      </c>
      <c r="O60" s="153">
        <f t="shared" si="29"/>
        <v>73</v>
      </c>
      <c r="P60" s="153">
        <f t="shared" si="29"/>
        <v>36</v>
      </c>
      <c r="Q60" s="153">
        <f t="shared" si="29"/>
        <v>153</v>
      </c>
      <c r="R60" s="153">
        <f t="shared" si="29"/>
        <v>49</v>
      </c>
      <c r="S60" s="153">
        <f t="shared" si="29"/>
        <v>168</v>
      </c>
      <c r="T60" s="153">
        <f t="shared" si="29"/>
        <v>101</v>
      </c>
      <c r="U60" s="153">
        <f t="shared" si="29"/>
        <v>302</v>
      </c>
      <c r="V60" s="153">
        <f t="shared" si="29"/>
        <v>203</v>
      </c>
    </row>
    <row r="61" spans="1:34" ht="22.5" customHeight="1">
      <c r="A61" s="151"/>
      <c r="B61" s="152" t="s">
        <v>293</v>
      </c>
      <c r="C61" s="153">
        <f>SUM(D61:V61)</f>
        <v>3205</v>
      </c>
      <c r="D61" s="153">
        <v>257</v>
      </c>
      <c r="E61" s="153">
        <v>395</v>
      </c>
      <c r="F61" s="153">
        <v>62</v>
      </c>
      <c r="G61" s="153">
        <v>255</v>
      </c>
      <c r="H61" s="153"/>
      <c r="I61" s="153"/>
      <c r="J61" s="153">
        <v>419</v>
      </c>
      <c r="K61" s="153">
        <v>37</v>
      </c>
      <c r="L61" s="153">
        <v>196</v>
      </c>
      <c r="M61" s="153">
        <v>499</v>
      </c>
      <c r="N61" s="153"/>
      <c r="O61" s="153">
        <v>73</v>
      </c>
      <c r="P61" s="153">
        <v>36</v>
      </c>
      <c r="Q61" s="153">
        <v>153</v>
      </c>
      <c r="R61" s="153">
        <v>49</v>
      </c>
      <c r="S61" s="153">
        <v>168</v>
      </c>
      <c r="T61" s="153">
        <v>101</v>
      </c>
      <c r="U61" s="153">
        <v>302</v>
      </c>
      <c r="V61" s="153">
        <v>203</v>
      </c>
    </row>
    <row r="63" spans="1:34" s="271" customFormat="1" ht="22.5" customHeight="1">
      <c r="A63" s="268"/>
      <c r="B63" s="264" t="s">
        <v>443</v>
      </c>
      <c r="C63" s="269"/>
      <c r="D63" s="269"/>
      <c r="E63" s="269"/>
      <c r="F63" s="269"/>
      <c r="G63" s="269"/>
      <c r="H63" s="269"/>
      <c r="I63" s="269"/>
      <c r="J63" s="269"/>
      <c r="K63" s="269"/>
      <c r="L63" s="269"/>
      <c r="M63" s="269"/>
      <c r="N63" s="269"/>
      <c r="O63" s="269"/>
      <c r="P63" s="269"/>
      <c r="Q63" s="269"/>
      <c r="R63" s="269"/>
      <c r="S63" s="269"/>
      <c r="T63" s="269"/>
      <c r="U63" s="269"/>
      <c r="V63" s="269"/>
      <c r="W63" s="270"/>
    </row>
    <row r="64" spans="1:34" s="272" customFormat="1" ht="22.5" customHeight="1">
      <c r="A64" s="267"/>
      <c r="B64" s="272" t="s">
        <v>440</v>
      </c>
      <c r="AE64" s="273"/>
      <c r="AF64" s="273"/>
      <c r="AG64" s="273"/>
      <c r="AH64" s="273"/>
    </row>
    <row r="65" spans="1:34" s="272" customFormat="1" ht="22.5" customHeight="1">
      <c r="A65" s="267"/>
      <c r="B65" s="272" t="s">
        <v>449</v>
      </c>
      <c r="AE65" s="273"/>
      <c r="AF65" s="273"/>
      <c r="AG65" s="273"/>
      <c r="AH65" s="273"/>
    </row>
    <row r="66" spans="1:34" s="272" customFormat="1" ht="22.5" customHeight="1">
      <c r="A66" s="267"/>
      <c r="B66" s="274" t="s">
        <v>444</v>
      </c>
      <c r="AE66" s="273"/>
      <c r="AF66" s="273"/>
      <c r="AG66" s="273"/>
      <c r="AH66" s="273"/>
    </row>
    <row r="67" spans="1:34" s="266" customFormat="1" ht="35.25" customHeight="1">
      <c r="A67" s="263"/>
      <c r="B67" s="286" t="s">
        <v>445</v>
      </c>
      <c r="C67" s="286"/>
      <c r="D67" s="286"/>
      <c r="E67" s="286"/>
      <c r="F67" s="286"/>
      <c r="G67" s="286"/>
      <c r="H67" s="286"/>
      <c r="I67" s="286"/>
      <c r="J67" s="286"/>
      <c r="K67" s="286"/>
      <c r="L67" s="286"/>
      <c r="M67" s="286"/>
      <c r="N67" s="286"/>
      <c r="O67" s="286"/>
      <c r="P67" s="286"/>
      <c r="Q67" s="286"/>
      <c r="R67" s="286"/>
      <c r="S67" s="286"/>
      <c r="T67" s="286"/>
      <c r="U67" s="286"/>
      <c r="V67" s="286"/>
      <c r="W67" s="265"/>
    </row>
    <row r="68" spans="1:34" s="272" customFormat="1" ht="22.5" customHeight="1">
      <c r="A68" s="267"/>
      <c r="B68" s="272" t="s">
        <v>446</v>
      </c>
      <c r="AE68" s="273"/>
      <c r="AF68" s="273"/>
      <c r="AG68" s="273"/>
      <c r="AH68" s="273"/>
    </row>
    <row r="69" spans="1:34" s="272" customFormat="1" ht="22.5" customHeight="1">
      <c r="A69" s="267"/>
      <c r="B69" s="272" t="s">
        <v>447</v>
      </c>
      <c r="AE69" s="273"/>
      <c r="AF69" s="273"/>
      <c r="AG69" s="273"/>
      <c r="AH69" s="273"/>
    </row>
    <row r="70" spans="1:34" s="266" customFormat="1" ht="35.25" customHeight="1">
      <c r="A70" s="263"/>
      <c r="B70" s="286" t="s">
        <v>448</v>
      </c>
      <c r="C70" s="286"/>
      <c r="D70" s="286"/>
      <c r="E70" s="286"/>
      <c r="F70" s="286"/>
      <c r="G70" s="286"/>
      <c r="H70" s="286"/>
      <c r="I70" s="286"/>
      <c r="J70" s="286"/>
      <c r="K70" s="286"/>
      <c r="L70" s="286"/>
      <c r="M70" s="286"/>
      <c r="N70" s="286"/>
      <c r="O70" s="286"/>
      <c r="P70" s="286"/>
      <c r="Q70" s="286"/>
      <c r="R70" s="286"/>
      <c r="S70" s="286"/>
      <c r="T70" s="286"/>
      <c r="U70" s="286"/>
      <c r="V70" s="286"/>
      <c r="W70" s="265"/>
    </row>
    <row r="71" spans="1:34" s="272" customFormat="1" ht="22.5" customHeight="1">
      <c r="A71" s="267"/>
      <c r="B71" s="272" t="s">
        <v>450</v>
      </c>
      <c r="AE71" s="273"/>
      <c r="AF71" s="273"/>
      <c r="AG71" s="273"/>
      <c r="AH71" s="273"/>
    </row>
  </sheetData>
  <mergeCells count="6">
    <mergeCell ref="B70:V70"/>
    <mergeCell ref="T4:V4"/>
    <mergeCell ref="A2:V2"/>
    <mergeCell ref="A3:V3"/>
    <mergeCell ref="U1:V1"/>
    <mergeCell ref="B67:V67"/>
  </mergeCells>
  <pageMargins left="0.27559055118110237" right="0.19685039370078741" top="0.59" bottom="0.63" header="0.19685039370078741" footer="0.31496062992125984"/>
  <pageSetup paperSize="9" scale="60" fitToHeight="0"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H89"/>
  <sheetViews>
    <sheetView showZeros="0" view="pageBreakPreview" zoomScale="85" zoomScaleNormal="100" zoomScaleSheetLayoutView="85" workbookViewId="0">
      <selection activeCell="Q11" sqref="Q11"/>
    </sheetView>
  </sheetViews>
  <sheetFormatPr defaultRowHeight="15.75"/>
  <cols>
    <col min="1" max="1" width="5.140625" style="154" customWidth="1"/>
    <col min="2" max="2" width="50.140625" style="172" customWidth="1"/>
    <col min="3" max="3" width="15.28515625" style="154" bestFit="1" customWidth="1"/>
    <col min="4" max="4" width="15.42578125" style="201" customWidth="1"/>
    <col min="5" max="5" width="13.42578125" style="172" hidden="1" customWidth="1"/>
    <col min="6" max="7" width="15.42578125" style="172" customWidth="1"/>
    <col min="8" max="8" width="17.7109375" style="154" customWidth="1"/>
    <col min="9" max="253" width="9.140625" style="172"/>
    <col min="254" max="254" width="5.85546875" style="172" customWidth="1"/>
    <col min="255" max="255" width="33.42578125" style="172" customWidth="1"/>
    <col min="256" max="256" width="13" style="172" customWidth="1"/>
    <col min="257" max="257" width="14.140625" style="172" bestFit="1" customWidth="1"/>
    <col min="258" max="258" width="11.42578125" style="172" customWidth="1"/>
    <col min="259" max="259" width="13" style="172" bestFit="1" customWidth="1"/>
    <col min="260" max="509" width="9.140625" style="172"/>
    <col min="510" max="510" width="5.85546875" style="172" customWidth="1"/>
    <col min="511" max="511" width="33.42578125" style="172" customWidth="1"/>
    <col min="512" max="512" width="13" style="172" customWidth="1"/>
    <col min="513" max="513" width="14.140625" style="172" bestFit="1" customWidth="1"/>
    <col min="514" max="514" width="11.42578125" style="172" customWidth="1"/>
    <col min="515" max="515" width="13" style="172" bestFit="1" customWidth="1"/>
    <col min="516" max="765" width="9.140625" style="172"/>
    <col min="766" max="766" width="5.85546875" style="172" customWidth="1"/>
    <col min="767" max="767" width="33.42578125" style="172" customWidth="1"/>
    <col min="768" max="768" width="13" style="172" customWidth="1"/>
    <col min="769" max="769" width="14.140625" style="172" bestFit="1" customWidth="1"/>
    <col min="770" max="770" width="11.42578125" style="172" customWidth="1"/>
    <col min="771" max="771" width="13" style="172" bestFit="1" customWidth="1"/>
    <col min="772" max="1021" width="9.140625" style="172"/>
    <col min="1022" max="1022" width="5.85546875" style="172" customWidth="1"/>
    <col min="1023" max="1023" width="33.42578125" style="172" customWidth="1"/>
    <col min="1024" max="1024" width="13" style="172" customWidth="1"/>
    <col min="1025" max="1025" width="14.140625" style="172" bestFit="1" customWidth="1"/>
    <col min="1026" max="1026" width="11.42578125" style="172" customWidth="1"/>
    <col min="1027" max="1027" width="13" style="172" bestFit="1" customWidth="1"/>
    <col min="1028" max="1277" width="9.140625" style="172"/>
    <col min="1278" max="1278" width="5.85546875" style="172" customWidth="1"/>
    <col min="1279" max="1279" width="33.42578125" style="172" customWidth="1"/>
    <col min="1280" max="1280" width="13" style="172" customWidth="1"/>
    <col min="1281" max="1281" width="14.140625" style="172" bestFit="1" customWidth="1"/>
    <col min="1282" max="1282" width="11.42578125" style="172" customWidth="1"/>
    <col min="1283" max="1283" width="13" style="172" bestFit="1" customWidth="1"/>
    <col min="1284" max="1533" width="9.140625" style="172"/>
    <col min="1534" max="1534" width="5.85546875" style="172" customWidth="1"/>
    <col min="1535" max="1535" width="33.42578125" style="172" customWidth="1"/>
    <col min="1536" max="1536" width="13" style="172" customWidth="1"/>
    <col min="1537" max="1537" width="14.140625" style="172" bestFit="1" customWidth="1"/>
    <col min="1538" max="1538" width="11.42578125" style="172" customWidth="1"/>
    <col min="1539" max="1539" width="13" style="172" bestFit="1" customWidth="1"/>
    <col min="1540" max="1789" width="9.140625" style="172"/>
    <col min="1790" max="1790" width="5.85546875" style="172" customWidth="1"/>
    <col min="1791" max="1791" width="33.42578125" style="172" customWidth="1"/>
    <col min="1792" max="1792" width="13" style="172" customWidth="1"/>
    <col min="1793" max="1793" width="14.140625" style="172" bestFit="1" customWidth="1"/>
    <col min="1794" max="1794" width="11.42578125" style="172" customWidth="1"/>
    <col min="1795" max="1795" width="13" style="172" bestFit="1" customWidth="1"/>
    <col min="1796" max="2045" width="9.140625" style="172"/>
    <col min="2046" max="2046" width="5.85546875" style="172" customWidth="1"/>
    <col min="2047" max="2047" width="33.42578125" style="172" customWidth="1"/>
    <col min="2048" max="2048" width="13" style="172" customWidth="1"/>
    <col min="2049" max="2049" width="14.140625" style="172" bestFit="1" customWidth="1"/>
    <col min="2050" max="2050" width="11.42578125" style="172" customWidth="1"/>
    <col min="2051" max="2051" width="13" style="172" bestFit="1" customWidth="1"/>
    <col min="2052" max="2301" width="9.140625" style="172"/>
    <col min="2302" max="2302" width="5.85546875" style="172" customWidth="1"/>
    <col min="2303" max="2303" width="33.42578125" style="172" customWidth="1"/>
    <col min="2304" max="2304" width="13" style="172" customWidth="1"/>
    <col min="2305" max="2305" width="14.140625" style="172" bestFit="1" customWidth="1"/>
    <col min="2306" max="2306" width="11.42578125" style="172" customWidth="1"/>
    <col min="2307" max="2307" width="13" style="172" bestFit="1" customWidth="1"/>
    <col min="2308" max="2557" width="9.140625" style="172"/>
    <col min="2558" max="2558" width="5.85546875" style="172" customWidth="1"/>
    <col min="2559" max="2559" width="33.42578125" style="172" customWidth="1"/>
    <col min="2560" max="2560" width="13" style="172" customWidth="1"/>
    <col min="2561" max="2561" width="14.140625" style="172" bestFit="1" customWidth="1"/>
    <col min="2562" max="2562" width="11.42578125" style="172" customWidth="1"/>
    <col min="2563" max="2563" width="13" style="172" bestFit="1" customWidth="1"/>
    <col min="2564" max="2813" width="9.140625" style="172"/>
    <col min="2814" max="2814" width="5.85546875" style="172" customWidth="1"/>
    <col min="2815" max="2815" width="33.42578125" style="172" customWidth="1"/>
    <col min="2816" max="2816" width="13" style="172" customWidth="1"/>
    <col min="2817" max="2817" width="14.140625" style="172" bestFit="1" customWidth="1"/>
    <col min="2818" max="2818" width="11.42578125" style="172" customWidth="1"/>
    <col min="2819" max="2819" width="13" style="172" bestFit="1" customWidth="1"/>
    <col min="2820" max="3069" width="9.140625" style="172"/>
    <col min="3070" max="3070" width="5.85546875" style="172" customWidth="1"/>
    <col min="3071" max="3071" width="33.42578125" style="172" customWidth="1"/>
    <col min="3072" max="3072" width="13" style="172" customWidth="1"/>
    <col min="3073" max="3073" width="14.140625" style="172" bestFit="1" customWidth="1"/>
    <col min="3074" max="3074" width="11.42578125" style="172" customWidth="1"/>
    <col min="3075" max="3075" width="13" style="172" bestFit="1" customWidth="1"/>
    <col min="3076" max="3325" width="9.140625" style="172"/>
    <col min="3326" max="3326" width="5.85546875" style="172" customWidth="1"/>
    <col min="3327" max="3327" width="33.42578125" style="172" customWidth="1"/>
    <col min="3328" max="3328" width="13" style="172" customWidth="1"/>
    <col min="3329" max="3329" width="14.140625" style="172" bestFit="1" customWidth="1"/>
    <col min="3330" max="3330" width="11.42578125" style="172" customWidth="1"/>
    <col min="3331" max="3331" width="13" style="172" bestFit="1" customWidth="1"/>
    <col min="3332" max="3581" width="9.140625" style="172"/>
    <col min="3582" max="3582" width="5.85546875" style="172" customWidth="1"/>
    <col min="3583" max="3583" width="33.42578125" style="172" customWidth="1"/>
    <col min="3584" max="3584" width="13" style="172" customWidth="1"/>
    <col min="3585" max="3585" width="14.140625" style="172" bestFit="1" customWidth="1"/>
    <col min="3586" max="3586" width="11.42578125" style="172" customWidth="1"/>
    <col min="3587" max="3587" width="13" style="172" bestFit="1" customWidth="1"/>
    <col min="3588" max="3837" width="9.140625" style="172"/>
    <col min="3838" max="3838" width="5.85546875" style="172" customWidth="1"/>
    <col min="3839" max="3839" width="33.42578125" style="172" customWidth="1"/>
    <col min="3840" max="3840" width="13" style="172" customWidth="1"/>
    <col min="3841" max="3841" width="14.140625" style="172" bestFit="1" customWidth="1"/>
    <col min="3842" max="3842" width="11.42578125" style="172" customWidth="1"/>
    <col min="3843" max="3843" width="13" style="172" bestFit="1" customWidth="1"/>
    <col min="3844" max="4093" width="9.140625" style="172"/>
    <col min="4094" max="4094" width="5.85546875" style="172" customWidth="1"/>
    <col min="4095" max="4095" width="33.42578125" style="172" customWidth="1"/>
    <col min="4096" max="4096" width="13" style="172" customWidth="1"/>
    <col min="4097" max="4097" width="14.140625" style="172" bestFit="1" customWidth="1"/>
    <col min="4098" max="4098" width="11.42578125" style="172" customWidth="1"/>
    <col min="4099" max="4099" width="13" style="172" bestFit="1" customWidth="1"/>
    <col min="4100" max="4349" width="9.140625" style="172"/>
    <col min="4350" max="4350" width="5.85546875" style="172" customWidth="1"/>
    <col min="4351" max="4351" width="33.42578125" style="172" customWidth="1"/>
    <col min="4352" max="4352" width="13" style="172" customWidth="1"/>
    <col min="4353" max="4353" width="14.140625" style="172" bestFit="1" customWidth="1"/>
    <col min="4354" max="4354" width="11.42578125" style="172" customWidth="1"/>
    <col min="4355" max="4355" width="13" style="172" bestFit="1" customWidth="1"/>
    <col min="4356" max="4605" width="9.140625" style="172"/>
    <col min="4606" max="4606" width="5.85546875" style="172" customWidth="1"/>
    <col min="4607" max="4607" width="33.42578125" style="172" customWidth="1"/>
    <col min="4608" max="4608" width="13" style="172" customWidth="1"/>
    <col min="4609" max="4609" width="14.140625" style="172" bestFit="1" customWidth="1"/>
    <col min="4610" max="4610" width="11.42578125" style="172" customWidth="1"/>
    <col min="4611" max="4611" width="13" style="172" bestFit="1" customWidth="1"/>
    <col min="4612" max="4861" width="9.140625" style="172"/>
    <col min="4862" max="4862" width="5.85546875" style="172" customWidth="1"/>
    <col min="4863" max="4863" width="33.42578125" style="172" customWidth="1"/>
    <col min="4864" max="4864" width="13" style="172" customWidth="1"/>
    <col min="4865" max="4865" width="14.140625" style="172" bestFit="1" customWidth="1"/>
    <col min="4866" max="4866" width="11.42578125" style="172" customWidth="1"/>
    <col min="4867" max="4867" width="13" style="172" bestFit="1" customWidth="1"/>
    <col min="4868" max="5117" width="9.140625" style="172"/>
    <col min="5118" max="5118" width="5.85546875" style="172" customWidth="1"/>
    <col min="5119" max="5119" width="33.42578125" style="172" customWidth="1"/>
    <col min="5120" max="5120" width="13" style="172" customWidth="1"/>
    <col min="5121" max="5121" width="14.140625" style="172" bestFit="1" customWidth="1"/>
    <col min="5122" max="5122" width="11.42578125" style="172" customWidth="1"/>
    <col min="5123" max="5123" width="13" style="172" bestFit="1" customWidth="1"/>
    <col min="5124" max="5373" width="9.140625" style="172"/>
    <col min="5374" max="5374" width="5.85546875" style="172" customWidth="1"/>
    <col min="5375" max="5375" width="33.42578125" style="172" customWidth="1"/>
    <col min="5376" max="5376" width="13" style="172" customWidth="1"/>
    <col min="5377" max="5377" width="14.140625" style="172" bestFit="1" customWidth="1"/>
    <col min="5378" max="5378" width="11.42578125" style="172" customWidth="1"/>
    <col min="5379" max="5379" width="13" style="172" bestFit="1" customWidth="1"/>
    <col min="5380" max="5629" width="9.140625" style="172"/>
    <col min="5630" max="5630" width="5.85546875" style="172" customWidth="1"/>
    <col min="5631" max="5631" width="33.42578125" style="172" customWidth="1"/>
    <col min="5632" max="5632" width="13" style="172" customWidth="1"/>
    <col min="5633" max="5633" width="14.140625" style="172" bestFit="1" customWidth="1"/>
    <col min="5634" max="5634" width="11.42578125" style="172" customWidth="1"/>
    <col min="5635" max="5635" width="13" style="172" bestFit="1" customWidth="1"/>
    <col min="5636" max="5885" width="9.140625" style="172"/>
    <col min="5886" max="5886" width="5.85546875" style="172" customWidth="1"/>
    <col min="5887" max="5887" width="33.42578125" style="172" customWidth="1"/>
    <col min="5888" max="5888" width="13" style="172" customWidth="1"/>
    <col min="5889" max="5889" width="14.140625" style="172" bestFit="1" customWidth="1"/>
    <col min="5890" max="5890" width="11.42578125" style="172" customWidth="1"/>
    <col min="5891" max="5891" width="13" style="172" bestFit="1" customWidth="1"/>
    <col min="5892" max="6141" width="9.140625" style="172"/>
    <col min="6142" max="6142" width="5.85546875" style="172" customWidth="1"/>
    <col min="6143" max="6143" width="33.42578125" style="172" customWidth="1"/>
    <col min="6144" max="6144" width="13" style="172" customWidth="1"/>
    <col min="6145" max="6145" width="14.140625" style="172" bestFit="1" customWidth="1"/>
    <col min="6146" max="6146" width="11.42578125" style="172" customWidth="1"/>
    <col min="6147" max="6147" width="13" style="172" bestFit="1" customWidth="1"/>
    <col min="6148" max="6397" width="9.140625" style="172"/>
    <col min="6398" max="6398" width="5.85546875" style="172" customWidth="1"/>
    <col min="6399" max="6399" width="33.42578125" style="172" customWidth="1"/>
    <col min="6400" max="6400" width="13" style="172" customWidth="1"/>
    <col min="6401" max="6401" width="14.140625" style="172" bestFit="1" customWidth="1"/>
    <col min="6402" max="6402" width="11.42578125" style="172" customWidth="1"/>
    <col min="6403" max="6403" width="13" style="172" bestFit="1" customWidth="1"/>
    <col min="6404" max="6653" width="9.140625" style="172"/>
    <col min="6654" max="6654" width="5.85546875" style="172" customWidth="1"/>
    <col min="6655" max="6655" width="33.42578125" style="172" customWidth="1"/>
    <col min="6656" max="6656" width="13" style="172" customWidth="1"/>
    <col min="6657" max="6657" width="14.140625" style="172" bestFit="1" customWidth="1"/>
    <col min="6658" max="6658" width="11.42578125" style="172" customWidth="1"/>
    <col min="6659" max="6659" width="13" style="172" bestFit="1" customWidth="1"/>
    <col min="6660" max="6909" width="9.140625" style="172"/>
    <col min="6910" max="6910" width="5.85546875" style="172" customWidth="1"/>
    <col min="6911" max="6911" width="33.42578125" style="172" customWidth="1"/>
    <col min="6912" max="6912" width="13" style="172" customWidth="1"/>
    <col min="6913" max="6913" width="14.140625" style="172" bestFit="1" customWidth="1"/>
    <col min="6914" max="6914" width="11.42578125" style="172" customWidth="1"/>
    <col min="6915" max="6915" width="13" style="172" bestFit="1" customWidth="1"/>
    <col min="6916" max="7165" width="9.140625" style="172"/>
    <col min="7166" max="7166" width="5.85546875" style="172" customWidth="1"/>
    <col min="7167" max="7167" width="33.42578125" style="172" customWidth="1"/>
    <col min="7168" max="7168" width="13" style="172" customWidth="1"/>
    <col min="7169" max="7169" width="14.140625" style="172" bestFit="1" customWidth="1"/>
    <col min="7170" max="7170" width="11.42578125" style="172" customWidth="1"/>
    <col min="7171" max="7171" width="13" style="172" bestFit="1" customWidth="1"/>
    <col min="7172" max="7421" width="9.140625" style="172"/>
    <col min="7422" max="7422" width="5.85546875" style="172" customWidth="1"/>
    <col min="7423" max="7423" width="33.42578125" style="172" customWidth="1"/>
    <col min="7424" max="7424" width="13" style="172" customWidth="1"/>
    <col min="7425" max="7425" width="14.140625" style="172" bestFit="1" customWidth="1"/>
    <col min="7426" max="7426" width="11.42578125" style="172" customWidth="1"/>
    <col min="7427" max="7427" width="13" style="172" bestFit="1" customWidth="1"/>
    <col min="7428" max="7677" width="9.140625" style="172"/>
    <col min="7678" max="7678" width="5.85546875" style="172" customWidth="1"/>
    <col min="7679" max="7679" width="33.42578125" style="172" customWidth="1"/>
    <col min="7680" max="7680" width="13" style="172" customWidth="1"/>
    <col min="7681" max="7681" width="14.140625" style="172" bestFit="1" customWidth="1"/>
    <col min="7682" max="7682" width="11.42578125" style="172" customWidth="1"/>
    <col min="7683" max="7683" width="13" style="172" bestFit="1" customWidth="1"/>
    <col min="7684" max="7933" width="9.140625" style="172"/>
    <col min="7934" max="7934" width="5.85546875" style="172" customWidth="1"/>
    <col min="7935" max="7935" width="33.42578125" style="172" customWidth="1"/>
    <col min="7936" max="7936" width="13" style="172" customWidth="1"/>
    <col min="7937" max="7937" width="14.140625" style="172" bestFit="1" customWidth="1"/>
    <col min="7938" max="7938" width="11.42578125" style="172" customWidth="1"/>
    <col min="7939" max="7939" width="13" style="172" bestFit="1" customWidth="1"/>
    <col min="7940" max="8189" width="9.140625" style="172"/>
    <col min="8190" max="8190" width="5.85546875" style="172" customWidth="1"/>
    <col min="8191" max="8191" width="33.42578125" style="172" customWidth="1"/>
    <col min="8192" max="8192" width="13" style="172" customWidth="1"/>
    <col min="8193" max="8193" width="14.140625" style="172" bestFit="1" customWidth="1"/>
    <col min="8194" max="8194" width="11.42578125" style="172" customWidth="1"/>
    <col min="8195" max="8195" width="13" style="172" bestFit="1" customWidth="1"/>
    <col min="8196" max="8445" width="9.140625" style="172"/>
    <col min="8446" max="8446" width="5.85546875" style="172" customWidth="1"/>
    <col min="8447" max="8447" width="33.42578125" style="172" customWidth="1"/>
    <col min="8448" max="8448" width="13" style="172" customWidth="1"/>
    <col min="8449" max="8449" width="14.140625" style="172" bestFit="1" customWidth="1"/>
    <col min="8450" max="8450" width="11.42578125" style="172" customWidth="1"/>
    <col min="8451" max="8451" width="13" style="172" bestFit="1" customWidth="1"/>
    <col min="8452" max="8701" width="9.140625" style="172"/>
    <col min="8702" max="8702" width="5.85546875" style="172" customWidth="1"/>
    <col min="8703" max="8703" width="33.42578125" style="172" customWidth="1"/>
    <col min="8704" max="8704" width="13" style="172" customWidth="1"/>
    <col min="8705" max="8705" width="14.140625" style="172" bestFit="1" customWidth="1"/>
    <col min="8706" max="8706" width="11.42578125" style="172" customWidth="1"/>
    <col min="8707" max="8707" width="13" style="172" bestFit="1" customWidth="1"/>
    <col min="8708" max="8957" width="9.140625" style="172"/>
    <col min="8958" max="8958" width="5.85546875" style="172" customWidth="1"/>
    <col min="8959" max="8959" width="33.42578125" style="172" customWidth="1"/>
    <col min="8960" max="8960" width="13" style="172" customWidth="1"/>
    <col min="8961" max="8961" width="14.140625" style="172" bestFit="1" customWidth="1"/>
    <col min="8962" max="8962" width="11.42578125" style="172" customWidth="1"/>
    <col min="8963" max="8963" width="13" style="172" bestFit="1" customWidth="1"/>
    <col min="8964" max="9213" width="9.140625" style="172"/>
    <col min="9214" max="9214" width="5.85546875" style="172" customWidth="1"/>
    <col min="9215" max="9215" width="33.42578125" style="172" customWidth="1"/>
    <col min="9216" max="9216" width="13" style="172" customWidth="1"/>
    <col min="9217" max="9217" width="14.140625" style="172" bestFit="1" customWidth="1"/>
    <col min="9218" max="9218" width="11.42578125" style="172" customWidth="1"/>
    <col min="9219" max="9219" width="13" style="172" bestFit="1" customWidth="1"/>
    <col min="9220" max="9469" width="9.140625" style="172"/>
    <col min="9470" max="9470" width="5.85546875" style="172" customWidth="1"/>
    <col min="9471" max="9471" width="33.42578125" style="172" customWidth="1"/>
    <col min="9472" max="9472" width="13" style="172" customWidth="1"/>
    <col min="9473" max="9473" width="14.140625" style="172" bestFit="1" customWidth="1"/>
    <col min="9474" max="9474" width="11.42578125" style="172" customWidth="1"/>
    <col min="9475" max="9475" width="13" style="172" bestFit="1" customWidth="1"/>
    <col min="9476" max="9725" width="9.140625" style="172"/>
    <col min="9726" max="9726" width="5.85546875" style="172" customWidth="1"/>
    <col min="9727" max="9727" width="33.42578125" style="172" customWidth="1"/>
    <col min="9728" max="9728" width="13" style="172" customWidth="1"/>
    <col min="9729" max="9729" width="14.140625" style="172" bestFit="1" customWidth="1"/>
    <col min="9730" max="9730" width="11.42578125" style="172" customWidth="1"/>
    <col min="9731" max="9731" width="13" style="172" bestFit="1" customWidth="1"/>
    <col min="9732" max="9981" width="9.140625" style="172"/>
    <col min="9982" max="9982" width="5.85546875" style="172" customWidth="1"/>
    <col min="9983" max="9983" width="33.42578125" style="172" customWidth="1"/>
    <col min="9984" max="9984" width="13" style="172" customWidth="1"/>
    <col min="9985" max="9985" width="14.140625" style="172" bestFit="1" customWidth="1"/>
    <col min="9986" max="9986" width="11.42578125" style="172" customWidth="1"/>
    <col min="9987" max="9987" width="13" style="172" bestFit="1" customWidth="1"/>
    <col min="9988" max="10237" width="9.140625" style="172"/>
    <col min="10238" max="10238" width="5.85546875" style="172" customWidth="1"/>
    <col min="10239" max="10239" width="33.42578125" style="172" customWidth="1"/>
    <col min="10240" max="10240" width="13" style="172" customWidth="1"/>
    <col min="10241" max="10241" width="14.140625" style="172" bestFit="1" customWidth="1"/>
    <col min="10242" max="10242" width="11.42578125" style="172" customWidth="1"/>
    <col min="10243" max="10243" width="13" style="172" bestFit="1" customWidth="1"/>
    <col min="10244" max="10493" width="9.140625" style="172"/>
    <col min="10494" max="10494" width="5.85546875" style="172" customWidth="1"/>
    <col min="10495" max="10495" width="33.42578125" style="172" customWidth="1"/>
    <col min="10496" max="10496" width="13" style="172" customWidth="1"/>
    <col min="10497" max="10497" width="14.140625" style="172" bestFit="1" customWidth="1"/>
    <col min="10498" max="10498" width="11.42578125" style="172" customWidth="1"/>
    <col min="10499" max="10499" width="13" style="172" bestFit="1" customWidth="1"/>
    <col min="10500" max="10749" width="9.140625" style="172"/>
    <col min="10750" max="10750" width="5.85546875" style="172" customWidth="1"/>
    <col min="10751" max="10751" width="33.42578125" style="172" customWidth="1"/>
    <col min="10752" max="10752" width="13" style="172" customWidth="1"/>
    <col min="10753" max="10753" width="14.140625" style="172" bestFit="1" customWidth="1"/>
    <col min="10754" max="10754" width="11.42578125" style="172" customWidth="1"/>
    <col min="10755" max="10755" width="13" style="172" bestFit="1" customWidth="1"/>
    <col min="10756" max="11005" width="9.140625" style="172"/>
    <col min="11006" max="11006" width="5.85546875" style="172" customWidth="1"/>
    <col min="11007" max="11007" width="33.42578125" style="172" customWidth="1"/>
    <col min="11008" max="11008" width="13" style="172" customWidth="1"/>
    <col min="11009" max="11009" width="14.140625" style="172" bestFit="1" customWidth="1"/>
    <col min="11010" max="11010" width="11.42578125" style="172" customWidth="1"/>
    <col min="11011" max="11011" width="13" style="172" bestFit="1" customWidth="1"/>
    <col min="11012" max="11261" width="9.140625" style="172"/>
    <col min="11262" max="11262" width="5.85546875" style="172" customWidth="1"/>
    <col min="11263" max="11263" width="33.42578125" style="172" customWidth="1"/>
    <col min="11264" max="11264" width="13" style="172" customWidth="1"/>
    <col min="11265" max="11265" width="14.140625" style="172" bestFit="1" customWidth="1"/>
    <col min="11266" max="11266" width="11.42578125" style="172" customWidth="1"/>
    <col min="11267" max="11267" width="13" style="172" bestFit="1" customWidth="1"/>
    <col min="11268" max="11517" width="9.140625" style="172"/>
    <col min="11518" max="11518" width="5.85546875" style="172" customWidth="1"/>
    <col min="11519" max="11519" width="33.42578125" style="172" customWidth="1"/>
    <col min="11520" max="11520" width="13" style="172" customWidth="1"/>
    <col min="11521" max="11521" width="14.140625" style="172" bestFit="1" customWidth="1"/>
    <col min="11522" max="11522" width="11.42578125" style="172" customWidth="1"/>
    <col min="11523" max="11523" width="13" style="172" bestFit="1" customWidth="1"/>
    <col min="11524" max="11773" width="9.140625" style="172"/>
    <col min="11774" max="11774" width="5.85546875" style="172" customWidth="1"/>
    <col min="11775" max="11775" width="33.42578125" style="172" customWidth="1"/>
    <col min="11776" max="11776" width="13" style="172" customWidth="1"/>
    <col min="11777" max="11777" width="14.140625" style="172" bestFit="1" customWidth="1"/>
    <col min="11778" max="11778" width="11.42578125" style="172" customWidth="1"/>
    <col min="11779" max="11779" width="13" style="172" bestFit="1" customWidth="1"/>
    <col min="11780" max="12029" width="9.140625" style="172"/>
    <col min="12030" max="12030" width="5.85546875" style="172" customWidth="1"/>
    <col min="12031" max="12031" width="33.42578125" style="172" customWidth="1"/>
    <col min="12032" max="12032" width="13" style="172" customWidth="1"/>
    <col min="12033" max="12033" width="14.140625" style="172" bestFit="1" customWidth="1"/>
    <col min="12034" max="12034" width="11.42578125" style="172" customWidth="1"/>
    <col min="12035" max="12035" width="13" style="172" bestFit="1" customWidth="1"/>
    <col min="12036" max="12285" width="9.140625" style="172"/>
    <col min="12286" max="12286" width="5.85546875" style="172" customWidth="1"/>
    <col min="12287" max="12287" width="33.42578125" style="172" customWidth="1"/>
    <col min="12288" max="12288" width="13" style="172" customWidth="1"/>
    <col min="12289" max="12289" width="14.140625" style="172" bestFit="1" customWidth="1"/>
    <col min="12290" max="12290" width="11.42578125" style="172" customWidth="1"/>
    <col min="12291" max="12291" width="13" style="172" bestFit="1" customWidth="1"/>
    <col min="12292" max="12541" width="9.140625" style="172"/>
    <col min="12542" max="12542" width="5.85546875" style="172" customWidth="1"/>
    <col min="12543" max="12543" width="33.42578125" style="172" customWidth="1"/>
    <col min="12544" max="12544" width="13" style="172" customWidth="1"/>
    <col min="12545" max="12545" width="14.140625" style="172" bestFit="1" customWidth="1"/>
    <col min="12546" max="12546" width="11.42578125" style="172" customWidth="1"/>
    <col min="12547" max="12547" width="13" style="172" bestFit="1" customWidth="1"/>
    <col min="12548" max="12797" width="9.140625" style="172"/>
    <col min="12798" max="12798" width="5.85546875" style="172" customWidth="1"/>
    <col min="12799" max="12799" width="33.42578125" style="172" customWidth="1"/>
    <col min="12800" max="12800" width="13" style="172" customWidth="1"/>
    <col min="12801" max="12801" width="14.140625" style="172" bestFit="1" customWidth="1"/>
    <col min="12802" max="12802" width="11.42578125" style="172" customWidth="1"/>
    <col min="12803" max="12803" width="13" style="172" bestFit="1" customWidth="1"/>
    <col min="12804" max="13053" width="9.140625" style="172"/>
    <col min="13054" max="13054" width="5.85546875" style="172" customWidth="1"/>
    <col min="13055" max="13055" width="33.42578125" style="172" customWidth="1"/>
    <col min="13056" max="13056" width="13" style="172" customWidth="1"/>
    <col min="13057" max="13057" width="14.140625" style="172" bestFit="1" customWidth="1"/>
    <col min="13058" max="13058" width="11.42578125" style="172" customWidth="1"/>
    <col min="13059" max="13059" width="13" style="172" bestFit="1" customWidth="1"/>
    <col min="13060" max="13309" width="9.140625" style="172"/>
    <col min="13310" max="13310" width="5.85546875" style="172" customWidth="1"/>
    <col min="13311" max="13311" width="33.42578125" style="172" customWidth="1"/>
    <col min="13312" max="13312" width="13" style="172" customWidth="1"/>
    <col min="13313" max="13313" width="14.140625" style="172" bestFit="1" customWidth="1"/>
    <col min="13314" max="13314" width="11.42578125" style="172" customWidth="1"/>
    <col min="13315" max="13315" width="13" style="172" bestFit="1" customWidth="1"/>
    <col min="13316" max="13565" width="9.140625" style="172"/>
    <col min="13566" max="13566" width="5.85546875" style="172" customWidth="1"/>
    <col min="13567" max="13567" width="33.42578125" style="172" customWidth="1"/>
    <col min="13568" max="13568" width="13" style="172" customWidth="1"/>
    <col min="13569" max="13569" width="14.140625" style="172" bestFit="1" customWidth="1"/>
    <col min="13570" max="13570" width="11.42578125" style="172" customWidth="1"/>
    <col min="13571" max="13571" width="13" style="172" bestFit="1" customWidth="1"/>
    <col min="13572" max="13821" width="9.140625" style="172"/>
    <col min="13822" max="13822" width="5.85546875" style="172" customWidth="1"/>
    <col min="13823" max="13823" width="33.42578125" style="172" customWidth="1"/>
    <col min="13824" max="13824" width="13" style="172" customWidth="1"/>
    <col min="13825" max="13825" width="14.140625" style="172" bestFit="1" customWidth="1"/>
    <col min="13826" max="13826" width="11.42578125" style="172" customWidth="1"/>
    <col min="13827" max="13827" width="13" style="172" bestFit="1" customWidth="1"/>
    <col min="13828" max="14077" width="9.140625" style="172"/>
    <col min="14078" max="14078" width="5.85546875" style="172" customWidth="1"/>
    <col min="14079" max="14079" width="33.42578125" style="172" customWidth="1"/>
    <col min="14080" max="14080" width="13" style="172" customWidth="1"/>
    <col min="14081" max="14081" width="14.140625" style="172" bestFit="1" customWidth="1"/>
    <col min="14082" max="14082" width="11.42578125" style="172" customWidth="1"/>
    <col min="14083" max="14083" width="13" style="172" bestFit="1" customWidth="1"/>
    <col min="14084" max="14333" width="9.140625" style="172"/>
    <col min="14334" max="14334" width="5.85546875" style="172" customWidth="1"/>
    <col min="14335" max="14335" width="33.42578125" style="172" customWidth="1"/>
    <col min="14336" max="14336" width="13" style="172" customWidth="1"/>
    <col min="14337" max="14337" width="14.140625" style="172" bestFit="1" customWidth="1"/>
    <col min="14338" max="14338" width="11.42578125" style="172" customWidth="1"/>
    <col min="14339" max="14339" width="13" style="172" bestFit="1" customWidth="1"/>
    <col min="14340" max="14589" width="9.140625" style="172"/>
    <col min="14590" max="14590" width="5.85546875" style="172" customWidth="1"/>
    <col min="14591" max="14591" width="33.42578125" style="172" customWidth="1"/>
    <col min="14592" max="14592" width="13" style="172" customWidth="1"/>
    <col min="14593" max="14593" width="14.140625" style="172" bestFit="1" customWidth="1"/>
    <col min="14594" max="14594" width="11.42578125" style="172" customWidth="1"/>
    <col min="14595" max="14595" width="13" style="172" bestFit="1" customWidth="1"/>
    <col min="14596" max="14845" width="9.140625" style="172"/>
    <col min="14846" max="14846" width="5.85546875" style="172" customWidth="1"/>
    <col min="14847" max="14847" width="33.42578125" style="172" customWidth="1"/>
    <col min="14848" max="14848" width="13" style="172" customWidth="1"/>
    <col min="14849" max="14849" width="14.140625" style="172" bestFit="1" customWidth="1"/>
    <col min="14850" max="14850" width="11.42578125" style="172" customWidth="1"/>
    <col min="14851" max="14851" width="13" style="172" bestFit="1" customWidth="1"/>
    <col min="14852" max="15101" width="9.140625" style="172"/>
    <col min="15102" max="15102" width="5.85546875" style="172" customWidth="1"/>
    <col min="15103" max="15103" width="33.42578125" style="172" customWidth="1"/>
    <col min="15104" max="15104" width="13" style="172" customWidth="1"/>
    <col min="15105" max="15105" width="14.140625" style="172" bestFit="1" customWidth="1"/>
    <col min="15106" max="15106" width="11.42578125" style="172" customWidth="1"/>
    <col min="15107" max="15107" width="13" style="172" bestFit="1" customWidth="1"/>
    <col min="15108" max="15357" width="9.140625" style="172"/>
    <col min="15358" max="15358" width="5.85546875" style="172" customWidth="1"/>
    <col min="15359" max="15359" width="33.42578125" style="172" customWidth="1"/>
    <col min="15360" max="15360" width="13" style="172" customWidth="1"/>
    <col min="15361" max="15361" width="14.140625" style="172" bestFit="1" customWidth="1"/>
    <col min="15362" max="15362" width="11.42578125" style="172" customWidth="1"/>
    <col min="15363" max="15363" width="13" style="172" bestFit="1" customWidth="1"/>
    <col min="15364" max="15613" width="9.140625" style="172"/>
    <col min="15614" max="15614" width="5.85546875" style="172" customWidth="1"/>
    <col min="15615" max="15615" width="33.42578125" style="172" customWidth="1"/>
    <col min="15616" max="15616" width="13" style="172" customWidth="1"/>
    <col min="15617" max="15617" width="14.140625" style="172" bestFit="1" customWidth="1"/>
    <col min="15618" max="15618" width="11.42578125" style="172" customWidth="1"/>
    <col min="15619" max="15619" width="13" style="172" bestFit="1" customWidth="1"/>
    <col min="15620" max="15869" width="9.140625" style="172"/>
    <col min="15870" max="15870" width="5.85546875" style="172" customWidth="1"/>
    <col min="15871" max="15871" width="33.42578125" style="172" customWidth="1"/>
    <col min="15872" max="15872" width="13" style="172" customWidth="1"/>
    <col min="15873" max="15873" width="14.140625" style="172" bestFit="1" customWidth="1"/>
    <col min="15874" max="15874" width="11.42578125" style="172" customWidth="1"/>
    <col min="15875" max="15875" width="13" style="172" bestFit="1" customWidth="1"/>
    <col min="15876" max="16125" width="9.140625" style="172"/>
    <col min="16126" max="16126" width="5.85546875" style="172" customWidth="1"/>
    <col min="16127" max="16127" width="33.42578125" style="172" customWidth="1"/>
    <col min="16128" max="16128" width="13" style="172" customWidth="1"/>
    <col min="16129" max="16129" width="14.140625" style="172" bestFit="1" customWidth="1"/>
    <col min="16130" max="16130" width="11.42578125" style="172" customWidth="1"/>
    <col min="16131" max="16131" width="13" style="172" bestFit="1" customWidth="1"/>
    <col min="16132" max="16376" width="9.140625" style="172"/>
    <col min="16377" max="16384" width="9" style="172" customWidth="1"/>
  </cols>
  <sheetData>
    <row r="1" spans="1:8">
      <c r="G1" s="292" t="s">
        <v>300</v>
      </c>
      <c r="H1" s="292"/>
    </row>
    <row r="2" spans="1:8" ht="46.5" customHeight="1">
      <c r="A2" s="293" t="s">
        <v>303</v>
      </c>
      <c r="B2" s="294"/>
      <c r="C2" s="294"/>
      <c r="D2" s="294"/>
      <c r="E2" s="294"/>
      <c r="F2" s="294"/>
      <c r="G2" s="294"/>
      <c r="H2" s="294"/>
    </row>
    <row r="3" spans="1:8" ht="24" customHeight="1">
      <c r="A3" s="295" t="str">
        <f>'Biểu 1'!A3:C3</f>
        <v>(Kèm theo Quyết định số 2128 /QĐ-UBND ngày 20 tháng 12 năm 2022 của UBND huyện Tuần Giáo)</v>
      </c>
      <c r="B3" s="295"/>
      <c r="C3" s="295"/>
      <c r="D3" s="295"/>
      <c r="E3" s="295"/>
      <c r="F3" s="295"/>
      <c r="G3" s="295"/>
      <c r="H3" s="295"/>
    </row>
    <row r="4" spans="1:8">
      <c r="A4" s="235"/>
      <c r="B4" s="236"/>
      <c r="C4" s="236"/>
      <c r="D4" s="237"/>
      <c r="E4" s="238"/>
      <c r="F4" s="238"/>
      <c r="G4" s="296" t="s">
        <v>304</v>
      </c>
      <c r="H4" s="296"/>
    </row>
    <row r="5" spans="1:8" s="239" customFormat="1" ht="33" customHeight="1">
      <c r="A5" s="297" t="s">
        <v>0</v>
      </c>
      <c r="B5" s="297" t="s">
        <v>305</v>
      </c>
      <c r="C5" s="298" t="s">
        <v>306</v>
      </c>
      <c r="D5" s="300" t="s">
        <v>307</v>
      </c>
      <c r="E5" s="300" t="s">
        <v>308</v>
      </c>
      <c r="F5" s="291" t="s">
        <v>309</v>
      </c>
      <c r="G5" s="300" t="s">
        <v>235</v>
      </c>
      <c r="H5" s="291" t="s">
        <v>310</v>
      </c>
    </row>
    <row r="6" spans="1:8" s="239" customFormat="1" ht="33" customHeight="1">
      <c r="A6" s="297"/>
      <c r="B6" s="297"/>
      <c r="C6" s="299"/>
      <c r="D6" s="301"/>
      <c r="E6" s="301"/>
      <c r="F6" s="291"/>
      <c r="G6" s="301"/>
      <c r="H6" s="291"/>
    </row>
    <row r="7" spans="1:8" s="180" customFormat="1" ht="25.5" customHeight="1">
      <c r="A7" s="240"/>
      <c r="B7" s="241" t="s">
        <v>45</v>
      </c>
      <c r="C7" s="241"/>
      <c r="D7" s="242">
        <f>D8+D46+D61+D86</f>
        <v>182267.508</v>
      </c>
      <c r="E7" s="242">
        <f>E8+E46+E61+E86</f>
        <v>45593356000</v>
      </c>
      <c r="F7" s="242">
        <f>F8+F46+F61+F86</f>
        <v>99433.651000000013</v>
      </c>
      <c r="G7" s="242">
        <f>G8+G46+G61+G86</f>
        <v>35759</v>
      </c>
      <c r="H7" s="243"/>
    </row>
    <row r="8" spans="1:8" s="180" customFormat="1" ht="25.5" customHeight="1">
      <c r="A8" s="240" t="s">
        <v>1</v>
      </c>
      <c r="B8" s="244" t="s">
        <v>311</v>
      </c>
      <c r="C8" s="241"/>
      <c r="D8" s="242">
        <f>D9+D33</f>
        <v>105797.508</v>
      </c>
      <c r="E8" s="242">
        <f>E9+E33</f>
        <v>13645527000</v>
      </c>
      <c r="F8" s="242">
        <f>F9+F33</f>
        <v>65169.672000000006</v>
      </c>
      <c r="G8" s="242">
        <f>G9+G33</f>
        <v>20079</v>
      </c>
      <c r="H8" s="243"/>
    </row>
    <row r="9" spans="1:8" s="180" customFormat="1" ht="25.5" customHeight="1">
      <c r="A9" s="240" t="s">
        <v>3</v>
      </c>
      <c r="B9" s="244" t="s">
        <v>312</v>
      </c>
      <c r="C9" s="241"/>
      <c r="D9" s="242">
        <f>D10</f>
        <v>80897.508000000002</v>
      </c>
      <c r="E9" s="242">
        <f t="shared" ref="E9:G9" si="0">E10</f>
        <v>13645527000</v>
      </c>
      <c r="F9" s="242">
        <f t="shared" si="0"/>
        <v>65169.672000000006</v>
      </c>
      <c r="G9" s="242">
        <f t="shared" si="0"/>
        <v>3479.0000000000005</v>
      </c>
      <c r="H9" s="243"/>
    </row>
    <row r="10" spans="1:8" s="180" customFormat="1" ht="25.5" customHeight="1">
      <c r="A10" s="240" t="s">
        <v>298</v>
      </c>
      <c r="B10" s="244" t="s">
        <v>313</v>
      </c>
      <c r="C10" s="241"/>
      <c r="D10" s="242">
        <f>SUM(D11:D32)</f>
        <v>80897.508000000002</v>
      </c>
      <c r="E10" s="242">
        <f>SUM(E11:E32)</f>
        <v>13645527000</v>
      </c>
      <c r="F10" s="242">
        <f>SUM(F11:F32)</f>
        <v>65169.672000000006</v>
      </c>
      <c r="G10" s="242">
        <f>SUM(G11:G32)</f>
        <v>3479.0000000000005</v>
      </c>
      <c r="H10" s="243"/>
    </row>
    <row r="11" spans="1:8" ht="25.5" customHeight="1">
      <c r="A11" s="166">
        <v>1</v>
      </c>
      <c r="B11" s="167" t="s">
        <v>314</v>
      </c>
      <c r="C11" s="225" t="s">
        <v>158</v>
      </c>
      <c r="D11" s="169">
        <v>2300</v>
      </c>
      <c r="E11" s="169"/>
      <c r="F11" s="169">
        <v>2015.1569999999999</v>
      </c>
      <c r="G11" s="169">
        <v>11.981</v>
      </c>
      <c r="H11" s="170" t="s">
        <v>315</v>
      </c>
    </row>
    <row r="12" spans="1:8" ht="25.5" customHeight="1">
      <c r="A12" s="166">
        <v>2</v>
      </c>
      <c r="B12" s="167" t="s">
        <v>316</v>
      </c>
      <c r="C12" s="225" t="s">
        <v>161</v>
      </c>
      <c r="D12" s="169">
        <v>5500</v>
      </c>
      <c r="E12" s="169"/>
      <c r="F12" s="175">
        <v>5000</v>
      </c>
      <c r="G12" s="169">
        <v>3.3650000000000002</v>
      </c>
      <c r="H12" s="170" t="s">
        <v>315</v>
      </c>
    </row>
    <row r="13" spans="1:8" ht="25.5" customHeight="1">
      <c r="A13" s="166">
        <v>3</v>
      </c>
      <c r="B13" s="167" t="s">
        <v>317</v>
      </c>
      <c r="C13" s="225" t="s">
        <v>164</v>
      </c>
      <c r="D13" s="245">
        <v>4000</v>
      </c>
      <c r="E13" s="169"/>
      <c r="F13" s="169">
        <v>3657.665</v>
      </c>
      <c r="G13" s="169">
        <v>40.582999999999998</v>
      </c>
      <c r="H13" s="170" t="s">
        <v>315</v>
      </c>
    </row>
    <row r="14" spans="1:8" ht="25.5" customHeight="1">
      <c r="A14" s="166">
        <v>4</v>
      </c>
      <c r="B14" s="167" t="s">
        <v>318</v>
      </c>
      <c r="C14" s="225" t="s">
        <v>164</v>
      </c>
      <c r="D14" s="169">
        <v>2300</v>
      </c>
      <c r="E14" s="169"/>
      <c r="F14" s="169">
        <v>2018</v>
      </c>
      <c r="G14" s="169">
        <v>58.771999999999998</v>
      </c>
      <c r="H14" s="170" t="s">
        <v>315</v>
      </c>
    </row>
    <row r="15" spans="1:8" ht="25.5" customHeight="1">
      <c r="A15" s="166">
        <v>5</v>
      </c>
      <c r="B15" s="246" t="s">
        <v>319</v>
      </c>
      <c r="C15" s="225" t="s">
        <v>152</v>
      </c>
      <c r="D15" s="245">
        <v>4000</v>
      </c>
      <c r="E15" s="169"/>
      <c r="F15" s="169">
        <v>3809.45</v>
      </c>
      <c r="G15" s="169">
        <v>0.20499999999999999</v>
      </c>
      <c r="H15" s="170" t="s">
        <v>315</v>
      </c>
    </row>
    <row r="16" spans="1:8" ht="25.5" customHeight="1">
      <c r="A16" s="166">
        <v>6</v>
      </c>
      <c r="B16" s="167" t="s">
        <v>320</v>
      </c>
      <c r="C16" s="225" t="s">
        <v>152</v>
      </c>
      <c r="D16" s="169">
        <v>3200</v>
      </c>
      <c r="E16" s="169"/>
      <c r="F16" s="169">
        <v>3027</v>
      </c>
      <c r="G16" s="169">
        <v>18.254999999999999</v>
      </c>
      <c r="H16" s="170" t="s">
        <v>315</v>
      </c>
    </row>
    <row r="17" spans="1:8" ht="25.5" customHeight="1">
      <c r="A17" s="166">
        <v>7</v>
      </c>
      <c r="B17" s="167" t="s">
        <v>321</v>
      </c>
      <c r="C17" s="225" t="s">
        <v>162</v>
      </c>
      <c r="D17" s="169">
        <v>4860</v>
      </c>
      <c r="E17" s="169"/>
      <c r="F17" s="169">
        <v>4545.7889999999998</v>
      </c>
      <c r="G17" s="169">
        <v>119.565</v>
      </c>
      <c r="H17" s="170" t="s">
        <v>315</v>
      </c>
    </row>
    <row r="18" spans="1:8" ht="25.5" customHeight="1">
      <c r="A18" s="166">
        <v>8</v>
      </c>
      <c r="B18" s="167" t="s">
        <v>322</v>
      </c>
      <c r="C18" s="225" t="s">
        <v>153</v>
      </c>
      <c r="D18" s="245">
        <v>1800</v>
      </c>
      <c r="E18" s="169"/>
      <c r="F18" s="175">
        <v>1700</v>
      </c>
      <c r="G18" s="169">
        <v>71.406999999999996</v>
      </c>
      <c r="H18" s="170" t="s">
        <v>315</v>
      </c>
    </row>
    <row r="19" spans="1:8" ht="25.5" customHeight="1">
      <c r="A19" s="166">
        <v>9</v>
      </c>
      <c r="B19" s="167" t="s">
        <v>323</v>
      </c>
      <c r="C19" s="225" t="s">
        <v>153</v>
      </c>
      <c r="D19" s="245">
        <v>1100</v>
      </c>
      <c r="E19" s="182">
        <v>988350000</v>
      </c>
      <c r="F19" s="182">
        <v>940.05799999999999</v>
      </c>
      <c r="G19" s="169">
        <v>48.292000000000002</v>
      </c>
      <c r="H19" s="170" t="s">
        <v>315</v>
      </c>
    </row>
    <row r="20" spans="1:8" ht="25.5" customHeight="1">
      <c r="A20" s="166">
        <v>10</v>
      </c>
      <c r="B20" s="167" t="s">
        <v>324</v>
      </c>
      <c r="C20" s="225" t="s">
        <v>153</v>
      </c>
      <c r="D20" s="245">
        <v>2200</v>
      </c>
      <c r="E20" s="182">
        <v>2164589000</v>
      </c>
      <c r="F20" s="175">
        <v>1500</v>
      </c>
      <c r="G20" s="169">
        <v>664.58900000000006</v>
      </c>
      <c r="H20" s="170" t="s">
        <v>315</v>
      </c>
    </row>
    <row r="21" spans="1:8" ht="25.5" customHeight="1">
      <c r="A21" s="166">
        <v>11</v>
      </c>
      <c r="B21" s="167" t="s">
        <v>325</v>
      </c>
      <c r="C21" s="225" t="s">
        <v>211</v>
      </c>
      <c r="D21" s="245">
        <v>2650</v>
      </c>
      <c r="E21" s="182">
        <f>2525831000+76981000</f>
        <v>2602812000</v>
      </c>
      <c r="F21" s="175">
        <v>2595.8069999999998</v>
      </c>
      <c r="G21" s="169">
        <v>7.0049999999999999</v>
      </c>
      <c r="H21" s="170" t="s">
        <v>315</v>
      </c>
    </row>
    <row r="22" spans="1:8" ht="25.5" customHeight="1">
      <c r="A22" s="166">
        <v>12</v>
      </c>
      <c r="B22" s="167" t="s">
        <v>326</v>
      </c>
      <c r="C22" s="225" t="s">
        <v>149</v>
      </c>
      <c r="D22" s="245">
        <v>3400</v>
      </c>
      <c r="E22" s="182">
        <v>3265350000</v>
      </c>
      <c r="F22" s="175">
        <v>3192.6260000000002</v>
      </c>
      <c r="G22" s="169">
        <v>72.724000000000004</v>
      </c>
      <c r="H22" s="170" t="s">
        <v>315</v>
      </c>
    </row>
    <row r="23" spans="1:8" ht="25.5" customHeight="1">
      <c r="A23" s="166">
        <v>13</v>
      </c>
      <c r="B23" s="167" t="s">
        <v>327</v>
      </c>
      <c r="C23" s="225" t="s">
        <v>149</v>
      </c>
      <c r="D23" s="245">
        <v>1750</v>
      </c>
      <c r="E23" s="182">
        <v>1641648000</v>
      </c>
      <c r="F23" s="175">
        <v>1599.604</v>
      </c>
      <c r="G23" s="169">
        <v>42.043999999999997</v>
      </c>
      <c r="H23" s="170" t="s">
        <v>315</v>
      </c>
    </row>
    <row r="24" spans="1:8" ht="25.5" customHeight="1">
      <c r="A24" s="166">
        <v>14</v>
      </c>
      <c r="B24" s="167" t="s">
        <v>328</v>
      </c>
      <c r="C24" s="225" t="s">
        <v>147</v>
      </c>
      <c r="D24" s="245">
        <v>2100</v>
      </c>
      <c r="E24" s="182">
        <v>1899255000</v>
      </c>
      <c r="F24" s="182">
        <v>1830</v>
      </c>
      <c r="G24" s="169">
        <v>69.254999999999995</v>
      </c>
      <c r="H24" s="170" t="s">
        <v>315</v>
      </c>
    </row>
    <row r="25" spans="1:8" ht="31.5">
      <c r="A25" s="166">
        <v>15</v>
      </c>
      <c r="B25" s="167" t="s">
        <v>329</v>
      </c>
      <c r="C25" s="225" t="s">
        <v>330</v>
      </c>
      <c r="D25" s="245">
        <v>1100</v>
      </c>
      <c r="E25" s="182">
        <v>1083523000</v>
      </c>
      <c r="F25" s="175">
        <v>1050</v>
      </c>
      <c r="G25" s="169">
        <v>33.523000000000003</v>
      </c>
      <c r="H25" s="170" t="s">
        <v>315</v>
      </c>
    </row>
    <row r="26" spans="1:8" ht="25.5" customHeight="1">
      <c r="A26" s="166">
        <v>16</v>
      </c>
      <c r="B26" s="167" t="s">
        <v>331</v>
      </c>
      <c r="C26" s="225" t="s">
        <v>149</v>
      </c>
      <c r="D26" s="169">
        <v>3760</v>
      </c>
      <c r="E26" s="169"/>
      <c r="F26" s="169">
        <v>2768.91</v>
      </c>
      <c r="G26" s="169">
        <v>67.239000000000004</v>
      </c>
      <c r="H26" s="170" t="s">
        <v>315</v>
      </c>
    </row>
    <row r="27" spans="1:8" ht="31.5">
      <c r="A27" s="166">
        <v>17</v>
      </c>
      <c r="B27" s="167" t="s">
        <v>332</v>
      </c>
      <c r="C27" s="225" t="s">
        <v>154</v>
      </c>
      <c r="D27" s="169">
        <v>2849</v>
      </c>
      <c r="E27" s="169"/>
      <c r="F27" s="169">
        <v>2226.799</v>
      </c>
      <c r="G27" s="169">
        <v>69.200999999999993</v>
      </c>
      <c r="H27" s="170" t="s">
        <v>315</v>
      </c>
    </row>
    <row r="28" spans="1:8" ht="25.5" customHeight="1">
      <c r="A28" s="166">
        <v>18</v>
      </c>
      <c r="B28" s="167" t="s">
        <v>333</v>
      </c>
      <c r="C28" s="225" t="s">
        <v>150</v>
      </c>
      <c r="D28" s="169">
        <v>9600</v>
      </c>
      <c r="E28" s="169"/>
      <c r="F28" s="169">
        <v>8640.1059999999998</v>
      </c>
      <c r="G28" s="169">
        <v>6.8150000000000004</v>
      </c>
      <c r="H28" s="170" t="s">
        <v>315</v>
      </c>
    </row>
    <row r="29" spans="1:8" ht="31.5">
      <c r="A29" s="166">
        <v>19</v>
      </c>
      <c r="B29" s="167" t="s">
        <v>334</v>
      </c>
      <c r="C29" s="225" t="s">
        <v>154</v>
      </c>
      <c r="D29" s="169">
        <v>5128.5079999999998</v>
      </c>
      <c r="E29" s="169"/>
      <c r="F29" s="169">
        <v>4352.701</v>
      </c>
      <c r="G29" s="169">
        <v>8.0370000000000008</v>
      </c>
      <c r="H29" s="170" t="s">
        <v>315</v>
      </c>
    </row>
    <row r="30" spans="1:8" ht="25.5" customHeight="1">
      <c r="A30" s="166">
        <v>20</v>
      </c>
      <c r="B30" s="167" t="s">
        <v>335</v>
      </c>
      <c r="C30" s="168" t="s">
        <v>336</v>
      </c>
      <c r="D30" s="169">
        <v>2000</v>
      </c>
      <c r="E30" s="169"/>
      <c r="F30" s="169">
        <v>1700</v>
      </c>
      <c r="G30" s="169">
        <v>170.77699999999999</v>
      </c>
      <c r="H30" s="170" t="s">
        <v>315</v>
      </c>
    </row>
    <row r="31" spans="1:8" ht="31.5">
      <c r="A31" s="166">
        <v>21</v>
      </c>
      <c r="B31" s="173" t="s">
        <v>337</v>
      </c>
      <c r="C31" s="168" t="s">
        <v>338</v>
      </c>
      <c r="D31" s="169">
        <v>5500</v>
      </c>
      <c r="E31" s="169"/>
      <c r="F31" s="169">
        <v>4000</v>
      </c>
      <c r="G31" s="169">
        <f>894.816+0.55</f>
        <v>895.36599999999999</v>
      </c>
      <c r="H31" s="170" t="s">
        <v>339</v>
      </c>
    </row>
    <row r="32" spans="1:8" ht="31.5">
      <c r="A32" s="166">
        <v>22</v>
      </c>
      <c r="B32" s="167" t="s">
        <v>340</v>
      </c>
      <c r="C32" s="168" t="s">
        <v>336</v>
      </c>
      <c r="D32" s="169">
        <v>9800</v>
      </c>
      <c r="E32" s="169"/>
      <c r="F32" s="169">
        <v>3000</v>
      </c>
      <c r="G32" s="169">
        <f>1000</f>
        <v>1000</v>
      </c>
      <c r="H32" s="170" t="s">
        <v>339</v>
      </c>
    </row>
    <row r="33" spans="1:8" ht="25.5" customHeight="1">
      <c r="A33" s="240" t="s">
        <v>4</v>
      </c>
      <c r="B33" s="247" t="s">
        <v>341</v>
      </c>
      <c r="C33" s="192"/>
      <c r="D33" s="248">
        <f>D34+D38</f>
        <v>24900</v>
      </c>
      <c r="E33" s="248">
        <f t="shared" ref="E33:G33" si="1">E34+E38</f>
        <v>0</v>
      </c>
      <c r="F33" s="248">
        <f t="shared" si="1"/>
        <v>0</v>
      </c>
      <c r="G33" s="248">
        <f t="shared" si="1"/>
        <v>16600</v>
      </c>
      <c r="H33" s="170"/>
    </row>
    <row r="34" spans="1:8" ht="25.5" customHeight="1">
      <c r="A34" s="240" t="s">
        <v>298</v>
      </c>
      <c r="B34" s="244" t="s">
        <v>313</v>
      </c>
      <c r="C34" s="192"/>
      <c r="D34" s="248">
        <f>SUM(D35:D37)</f>
        <v>14500</v>
      </c>
      <c r="E34" s="248">
        <f t="shared" ref="E34:G34" si="2">SUM(E35:E37)</f>
        <v>0</v>
      </c>
      <c r="F34" s="248">
        <f t="shared" si="2"/>
        <v>0</v>
      </c>
      <c r="G34" s="248">
        <f t="shared" si="2"/>
        <v>8600</v>
      </c>
      <c r="H34" s="170"/>
    </row>
    <row r="35" spans="1:8" ht="30">
      <c r="A35" s="166">
        <v>1</v>
      </c>
      <c r="B35" s="249" t="s">
        <v>342</v>
      </c>
      <c r="C35" s="192" t="s">
        <v>343</v>
      </c>
      <c r="D35" s="245">
        <v>9200</v>
      </c>
      <c r="E35" s="182"/>
      <c r="F35" s="182"/>
      <c r="G35" s="175">
        <v>4000</v>
      </c>
      <c r="H35" s="170"/>
    </row>
    <row r="36" spans="1:8" ht="25.5" customHeight="1">
      <c r="A36" s="166">
        <v>2</v>
      </c>
      <c r="B36" s="249" t="s">
        <v>344</v>
      </c>
      <c r="C36" s="192" t="s">
        <v>149</v>
      </c>
      <c r="D36" s="245">
        <v>3300</v>
      </c>
      <c r="E36" s="182"/>
      <c r="F36" s="182"/>
      <c r="G36" s="175">
        <v>3000</v>
      </c>
      <c r="H36" s="170"/>
    </row>
    <row r="37" spans="1:8" ht="30">
      <c r="A37" s="166">
        <v>3</v>
      </c>
      <c r="B37" s="249" t="s">
        <v>345</v>
      </c>
      <c r="C37" s="192" t="s">
        <v>149</v>
      </c>
      <c r="D37" s="245">
        <v>2000</v>
      </c>
      <c r="E37" s="182"/>
      <c r="F37" s="182"/>
      <c r="G37" s="175">
        <v>1600</v>
      </c>
      <c r="H37" s="170"/>
    </row>
    <row r="38" spans="1:8" ht="25.5" customHeight="1">
      <c r="A38" s="240" t="s">
        <v>298</v>
      </c>
      <c r="B38" s="247" t="s">
        <v>346</v>
      </c>
      <c r="C38" s="192"/>
      <c r="D38" s="250">
        <f>SUM(D39:D45)</f>
        <v>10400</v>
      </c>
      <c r="E38" s="250">
        <f t="shared" ref="E38:G38" si="3">SUM(E39:E45)</f>
        <v>0</v>
      </c>
      <c r="F38" s="250">
        <f t="shared" si="3"/>
        <v>0</v>
      </c>
      <c r="G38" s="250">
        <f t="shared" si="3"/>
        <v>8000</v>
      </c>
      <c r="H38" s="170"/>
    </row>
    <row r="39" spans="1:8" ht="25.5" customHeight="1">
      <c r="A39" s="166">
        <v>1</v>
      </c>
      <c r="B39" s="173" t="s">
        <v>347</v>
      </c>
      <c r="C39" s="192" t="s">
        <v>163</v>
      </c>
      <c r="D39" s="245">
        <v>1200</v>
      </c>
      <c r="E39" s="182"/>
      <c r="F39" s="182"/>
      <c r="G39" s="175">
        <v>1000</v>
      </c>
      <c r="H39" s="170"/>
    </row>
    <row r="40" spans="1:8" ht="25.5" customHeight="1">
      <c r="A40" s="166">
        <v>2</v>
      </c>
      <c r="B40" s="173" t="s">
        <v>348</v>
      </c>
      <c r="C40" s="192" t="s">
        <v>163</v>
      </c>
      <c r="D40" s="245">
        <v>1200</v>
      </c>
      <c r="E40" s="182"/>
      <c r="F40" s="182"/>
      <c r="G40" s="175">
        <v>1000</v>
      </c>
      <c r="H40" s="170"/>
    </row>
    <row r="41" spans="1:8" ht="30">
      <c r="A41" s="166">
        <v>3</v>
      </c>
      <c r="B41" s="173" t="s">
        <v>349</v>
      </c>
      <c r="C41" s="192" t="s">
        <v>330</v>
      </c>
      <c r="D41" s="245">
        <v>3000</v>
      </c>
      <c r="E41" s="182"/>
      <c r="F41" s="182"/>
      <c r="G41" s="175">
        <v>2000</v>
      </c>
      <c r="H41" s="170"/>
    </row>
    <row r="42" spans="1:8" ht="30">
      <c r="A42" s="166">
        <v>4</v>
      </c>
      <c r="B42" s="173" t="s">
        <v>350</v>
      </c>
      <c r="C42" s="192" t="s">
        <v>211</v>
      </c>
      <c r="D42" s="245">
        <v>1500</v>
      </c>
      <c r="E42" s="182"/>
      <c r="F42" s="182"/>
      <c r="G42" s="175">
        <v>1200</v>
      </c>
      <c r="H42" s="170"/>
    </row>
    <row r="43" spans="1:8" ht="25.5" customHeight="1">
      <c r="A43" s="166">
        <v>5</v>
      </c>
      <c r="B43" s="173" t="s">
        <v>351</v>
      </c>
      <c r="C43" s="192" t="s">
        <v>157</v>
      </c>
      <c r="D43" s="245">
        <v>1500</v>
      </c>
      <c r="E43" s="182"/>
      <c r="F43" s="182"/>
      <c r="G43" s="175">
        <v>1200</v>
      </c>
      <c r="H43" s="170"/>
    </row>
    <row r="44" spans="1:8" ht="25.5" customHeight="1">
      <c r="A44" s="166">
        <v>6</v>
      </c>
      <c r="B44" s="173" t="s">
        <v>352</v>
      </c>
      <c r="C44" s="192" t="s">
        <v>147</v>
      </c>
      <c r="D44" s="245">
        <v>1000</v>
      </c>
      <c r="E44" s="182"/>
      <c r="F44" s="182"/>
      <c r="G44" s="175">
        <v>800</v>
      </c>
      <c r="H44" s="170"/>
    </row>
    <row r="45" spans="1:8" ht="30">
      <c r="A45" s="166">
        <v>7</v>
      </c>
      <c r="B45" s="173" t="s">
        <v>353</v>
      </c>
      <c r="C45" s="192" t="s">
        <v>150</v>
      </c>
      <c r="D45" s="245">
        <v>1000</v>
      </c>
      <c r="E45" s="182"/>
      <c r="F45" s="182"/>
      <c r="G45" s="175">
        <v>800</v>
      </c>
      <c r="H45" s="170"/>
    </row>
    <row r="46" spans="1:8" s="180" customFormat="1" ht="25.5" customHeight="1">
      <c r="A46" s="240" t="s">
        <v>2</v>
      </c>
      <c r="B46" s="244" t="s">
        <v>354</v>
      </c>
      <c r="C46" s="241"/>
      <c r="D46" s="242">
        <f>D47+D54</f>
        <v>16100</v>
      </c>
      <c r="E46" s="242">
        <f t="shared" ref="E46:G46" si="4">E47+E54</f>
        <v>5724909000</v>
      </c>
      <c r="F46" s="242">
        <f t="shared" si="4"/>
        <v>8765.5049999999992</v>
      </c>
      <c r="G46" s="242">
        <f t="shared" si="4"/>
        <v>5724</v>
      </c>
      <c r="H46" s="251"/>
    </row>
    <row r="47" spans="1:8" s="180" customFormat="1" ht="25.5" customHeight="1">
      <c r="A47" s="240" t="s">
        <v>3</v>
      </c>
      <c r="B47" s="244" t="s">
        <v>312</v>
      </c>
      <c r="C47" s="241"/>
      <c r="D47" s="242">
        <f>D48</f>
        <v>10000</v>
      </c>
      <c r="E47" s="242">
        <f t="shared" ref="E47:G47" si="5">E48</f>
        <v>5724909000</v>
      </c>
      <c r="F47" s="242">
        <f t="shared" si="5"/>
        <v>8765.5049999999992</v>
      </c>
      <c r="G47" s="242">
        <f t="shared" si="5"/>
        <v>824</v>
      </c>
      <c r="H47" s="251"/>
    </row>
    <row r="48" spans="1:8" s="180" customFormat="1" ht="25.5" customHeight="1">
      <c r="A48" s="240" t="s">
        <v>298</v>
      </c>
      <c r="B48" s="244" t="s">
        <v>313</v>
      </c>
      <c r="C48" s="241"/>
      <c r="D48" s="242">
        <f>SUM(D49:D53)</f>
        <v>10000</v>
      </c>
      <c r="E48" s="242">
        <f t="shared" ref="E48:G48" si="6">SUM(E49:E53)</f>
        <v>5724909000</v>
      </c>
      <c r="F48" s="242">
        <f t="shared" si="6"/>
        <v>8765.5049999999992</v>
      </c>
      <c r="G48" s="242">
        <f t="shared" si="6"/>
        <v>824</v>
      </c>
      <c r="H48" s="251"/>
    </row>
    <row r="49" spans="1:8" s="180" customFormat="1" ht="25.5" customHeight="1">
      <c r="A49" s="166">
        <v>1</v>
      </c>
      <c r="B49" s="173" t="s">
        <v>355</v>
      </c>
      <c r="C49" s="192" t="s">
        <v>149</v>
      </c>
      <c r="D49" s="177">
        <v>2500</v>
      </c>
      <c r="E49" s="178">
        <v>2445371000</v>
      </c>
      <c r="F49" s="177">
        <v>2050</v>
      </c>
      <c r="G49" s="175">
        <f>395.371+0.108</f>
        <v>395.47899999999998</v>
      </c>
      <c r="H49" s="179" t="s">
        <v>315</v>
      </c>
    </row>
    <row r="50" spans="1:8" s="180" customFormat="1" ht="30">
      <c r="A50" s="166">
        <v>2</v>
      </c>
      <c r="B50" s="173" t="s">
        <v>356</v>
      </c>
      <c r="C50" s="176"/>
      <c r="D50" s="177">
        <v>3900</v>
      </c>
      <c r="E50" s="178"/>
      <c r="F50" s="177">
        <v>3500</v>
      </c>
      <c r="G50" s="175">
        <v>364.488</v>
      </c>
      <c r="H50" s="179" t="s">
        <v>315</v>
      </c>
    </row>
    <row r="51" spans="1:8" s="180" customFormat="1" ht="25.5" customHeight="1">
      <c r="A51" s="166">
        <v>3</v>
      </c>
      <c r="B51" s="173" t="s">
        <v>357</v>
      </c>
      <c r="C51" s="192" t="s">
        <v>158</v>
      </c>
      <c r="D51" s="177">
        <v>600</v>
      </c>
      <c r="E51" s="178">
        <v>536298000</v>
      </c>
      <c r="F51" s="177">
        <v>514.53099999999995</v>
      </c>
      <c r="G51" s="175">
        <v>21.766999999999999</v>
      </c>
      <c r="H51" s="179" t="s">
        <v>315</v>
      </c>
    </row>
    <row r="52" spans="1:8" s="180" customFormat="1" ht="25.5" customHeight="1">
      <c r="A52" s="166">
        <v>4</v>
      </c>
      <c r="B52" s="252" t="s">
        <v>358</v>
      </c>
      <c r="C52" s="253" t="s">
        <v>150</v>
      </c>
      <c r="D52" s="169">
        <v>1600</v>
      </c>
      <c r="E52" s="254">
        <v>1525512000</v>
      </c>
      <c r="F52" s="177">
        <v>1516.78</v>
      </c>
      <c r="G52" s="175">
        <v>8.7319999999999993</v>
      </c>
      <c r="H52" s="179" t="s">
        <v>315</v>
      </c>
    </row>
    <row r="53" spans="1:8" s="180" customFormat="1" ht="25.5" customHeight="1">
      <c r="A53" s="166">
        <v>5</v>
      </c>
      <c r="B53" s="173" t="s">
        <v>359</v>
      </c>
      <c r="C53" s="192" t="s">
        <v>149</v>
      </c>
      <c r="D53" s="177">
        <v>1400</v>
      </c>
      <c r="E53" s="178">
        <v>1217728000</v>
      </c>
      <c r="F53" s="177">
        <v>1184.194</v>
      </c>
      <c r="G53" s="175">
        <v>33.533999999999999</v>
      </c>
      <c r="H53" s="179" t="s">
        <v>315</v>
      </c>
    </row>
    <row r="54" spans="1:8" s="180" customFormat="1" ht="25.5" customHeight="1">
      <c r="A54" s="240" t="s">
        <v>4</v>
      </c>
      <c r="B54" s="247" t="s">
        <v>341</v>
      </c>
      <c r="C54" s="176"/>
      <c r="D54" s="250">
        <f t="shared" ref="D54:F54" si="7">D55</f>
        <v>6100</v>
      </c>
      <c r="E54" s="250">
        <f t="shared" si="7"/>
        <v>0</v>
      </c>
      <c r="F54" s="250">
        <f t="shared" si="7"/>
        <v>0</v>
      </c>
      <c r="G54" s="250">
        <f>G55</f>
        <v>4900</v>
      </c>
      <c r="H54" s="179"/>
    </row>
    <row r="55" spans="1:8" s="180" customFormat="1" ht="25.5" customHeight="1">
      <c r="A55" s="240" t="s">
        <v>298</v>
      </c>
      <c r="B55" s="247" t="s">
        <v>360</v>
      </c>
      <c r="C55" s="176"/>
      <c r="D55" s="250">
        <f>SUM(D56:D60)</f>
        <v>6100</v>
      </c>
      <c r="E55" s="250">
        <f t="shared" ref="E55:G55" si="8">SUM(E56:E60)</f>
        <v>0</v>
      </c>
      <c r="F55" s="250">
        <f t="shared" si="8"/>
        <v>0</v>
      </c>
      <c r="G55" s="250">
        <f t="shared" si="8"/>
        <v>4900</v>
      </c>
      <c r="H55" s="179"/>
    </row>
    <row r="56" spans="1:8" s="180" customFormat="1" ht="30">
      <c r="A56" s="166">
        <v>1</v>
      </c>
      <c r="B56" s="173" t="s">
        <v>361</v>
      </c>
      <c r="C56" s="176" t="s">
        <v>330</v>
      </c>
      <c r="D56" s="245">
        <v>1500</v>
      </c>
      <c r="E56" s="182"/>
      <c r="F56" s="245"/>
      <c r="G56" s="175">
        <v>1200</v>
      </c>
      <c r="H56" s="179"/>
    </row>
    <row r="57" spans="1:8" s="180" customFormat="1" ht="25.5" customHeight="1">
      <c r="A57" s="166">
        <v>2</v>
      </c>
      <c r="B57" s="173" t="s">
        <v>362</v>
      </c>
      <c r="C57" s="176" t="s">
        <v>211</v>
      </c>
      <c r="D57" s="245">
        <v>700</v>
      </c>
      <c r="E57" s="182"/>
      <c r="F57" s="245"/>
      <c r="G57" s="175">
        <v>500</v>
      </c>
      <c r="H57" s="179"/>
    </row>
    <row r="58" spans="1:8" s="180" customFormat="1" ht="25.5" customHeight="1">
      <c r="A58" s="166">
        <v>3</v>
      </c>
      <c r="B58" s="173" t="s">
        <v>363</v>
      </c>
      <c r="C58" s="176" t="s">
        <v>147</v>
      </c>
      <c r="D58" s="245">
        <v>1000</v>
      </c>
      <c r="E58" s="182"/>
      <c r="F58" s="245"/>
      <c r="G58" s="175">
        <v>800</v>
      </c>
      <c r="H58" s="179"/>
    </row>
    <row r="59" spans="1:8" s="180" customFormat="1" ht="30">
      <c r="A59" s="166">
        <v>4</v>
      </c>
      <c r="B59" s="173" t="s">
        <v>364</v>
      </c>
      <c r="C59" s="176" t="s">
        <v>147</v>
      </c>
      <c r="D59" s="245">
        <v>1200</v>
      </c>
      <c r="E59" s="182"/>
      <c r="F59" s="245"/>
      <c r="G59" s="175">
        <v>900</v>
      </c>
      <c r="H59" s="179"/>
    </row>
    <row r="60" spans="1:8" s="180" customFormat="1" ht="25.5" customHeight="1">
      <c r="A60" s="166">
        <v>5</v>
      </c>
      <c r="B60" s="173" t="s">
        <v>365</v>
      </c>
      <c r="C60" s="176" t="s">
        <v>154</v>
      </c>
      <c r="D60" s="245">
        <v>1700</v>
      </c>
      <c r="E60" s="182"/>
      <c r="F60" s="245"/>
      <c r="G60" s="175">
        <v>1500</v>
      </c>
      <c r="H60" s="179"/>
    </row>
    <row r="61" spans="1:8" s="180" customFormat="1" ht="25.5" customHeight="1">
      <c r="A61" s="240" t="s">
        <v>212</v>
      </c>
      <c r="B61" s="244" t="s">
        <v>366</v>
      </c>
      <c r="C61" s="241"/>
      <c r="D61" s="242">
        <f>D62+D77</f>
        <v>55870</v>
      </c>
      <c r="E61" s="242">
        <f>E62+E77</f>
        <v>26222920000</v>
      </c>
      <c r="F61" s="242">
        <f>F62+F77</f>
        <v>25498.473999999998</v>
      </c>
      <c r="G61" s="242">
        <f>G62+G77</f>
        <v>7419</v>
      </c>
      <c r="H61" s="243"/>
    </row>
    <row r="62" spans="1:8" s="180" customFormat="1" ht="25.5" customHeight="1">
      <c r="A62" s="240" t="s">
        <v>3</v>
      </c>
      <c r="B62" s="244" t="s">
        <v>312</v>
      </c>
      <c r="C62" s="241"/>
      <c r="D62" s="242">
        <f>D63</f>
        <v>49470</v>
      </c>
      <c r="E62" s="242">
        <f t="shared" ref="E62:G62" si="9">E63</f>
        <v>26222920000</v>
      </c>
      <c r="F62" s="242">
        <f t="shared" si="9"/>
        <v>25498.473999999998</v>
      </c>
      <c r="G62" s="242">
        <f t="shared" si="9"/>
        <v>2819</v>
      </c>
      <c r="H62" s="243"/>
    </row>
    <row r="63" spans="1:8" s="180" customFormat="1" ht="25.5" customHeight="1">
      <c r="A63" s="240" t="s">
        <v>298</v>
      </c>
      <c r="B63" s="244" t="s">
        <v>313</v>
      </c>
      <c r="C63" s="241"/>
      <c r="D63" s="242">
        <f>SUM(D64:D76)</f>
        <v>49470</v>
      </c>
      <c r="E63" s="242">
        <f>SUM(E64:E76)</f>
        <v>26222920000</v>
      </c>
      <c r="F63" s="242">
        <f>SUM(F64:F76)</f>
        <v>25498.473999999998</v>
      </c>
      <c r="G63" s="242">
        <f>SUM(G64:G76)</f>
        <v>2819</v>
      </c>
      <c r="H63" s="243"/>
    </row>
    <row r="64" spans="1:8" ht="31.5">
      <c r="A64" s="166">
        <v>1</v>
      </c>
      <c r="B64" s="255" t="s">
        <v>367</v>
      </c>
      <c r="C64" s="225" t="s">
        <v>330</v>
      </c>
      <c r="D64" s="245">
        <v>1000</v>
      </c>
      <c r="E64" s="182">
        <v>846488000</v>
      </c>
      <c r="F64" s="182">
        <v>791.89400000000001</v>
      </c>
      <c r="G64" s="175">
        <v>54.594000000000001</v>
      </c>
      <c r="H64" s="170" t="s">
        <v>315</v>
      </c>
    </row>
    <row r="65" spans="1:8" ht="25.5" customHeight="1">
      <c r="A65" s="166">
        <v>2</v>
      </c>
      <c r="B65" s="255" t="s">
        <v>368</v>
      </c>
      <c r="C65" s="225" t="s">
        <v>161</v>
      </c>
      <c r="D65" s="245">
        <v>3920</v>
      </c>
      <c r="E65" s="182">
        <v>3475425000</v>
      </c>
      <c r="F65" s="182">
        <v>3405.7840000000001</v>
      </c>
      <c r="G65" s="175">
        <v>69.641000000000005</v>
      </c>
      <c r="H65" s="170" t="s">
        <v>315</v>
      </c>
    </row>
    <row r="66" spans="1:8" ht="31.5">
      <c r="A66" s="166">
        <v>3</v>
      </c>
      <c r="B66" s="255" t="s">
        <v>369</v>
      </c>
      <c r="C66" s="225" t="s">
        <v>330</v>
      </c>
      <c r="D66" s="245">
        <v>1050</v>
      </c>
      <c r="E66" s="182">
        <v>1036351000</v>
      </c>
      <c r="F66" s="175">
        <v>1000</v>
      </c>
      <c r="G66" s="175">
        <v>36.350999999999999</v>
      </c>
      <c r="H66" s="170" t="s">
        <v>315</v>
      </c>
    </row>
    <row r="67" spans="1:8" ht="31.5">
      <c r="A67" s="166">
        <v>4</v>
      </c>
      <c r="B67" s="255" t="s">
        <v>370</v>
      </c>
      <c r="C67" s="225" t="s">
        <v>330</v>
      </c>
      <c r="D67" s="245">
        <v>5000</v>
      </c>
      <c r="E67" s="182">
        <v>4898947000</v>
      </c>
      <c r="F67" s="182">
        <v>4870.8379999999997</v>
      </c>
      <c r="G67" s="175">
        <v>28.109000000000002</v>
      </c>
      <c r="H67" s="170" t="s">
        <v>315</v>
      </c>
    </row>
    <row r="68" spans="1:8" ht="31.5">
      <c r="A68" s="166">
        <v>5</v>
      </c>
      <c r="B68" s="255" t="s">
        <v>371</v>
      </c>
      <c r="C68" s="225" t="s">
        <v>330</v>
      </c>
      <c r="D68" s="245">
        <v>7200</v>
      </c>
      <c r="E68" s="182">
        <v>1173736000</v>
      </c>
      <c r="F68" s="182">
        <v>1130.077</v>
      </c>
      <c r="G68" s="175">
        <v>43.658999999999999</v>
      </c>
      <c r="H68" s="170" t="s">
        <v>315</v>
      </c>
    </row>
    <row r="69" spans="1:8" ht="25.5" customHeight="1">
      <c r="A69" s="166">
        <v>6</v>
      </c>
      <c r="B69" s="255" t="s">
        <v>372</v>
      </c>
      <c r="C69" s="225" t="s">
        <v>157</v>
      </c>
      <c r="D69" s="245">
        <v>3750</v>
      </c>
      <c r="E69" s="182">
        <v>3558456000</v>
      </c>
      <c r="F69" s="182">
        <v>3518.194</v>
      </c>
      <c r="G69" s="175">
        <v>40.262</v>
      </c>
      <c r="H69" s="170" t="s">
        <v>315</v>
      </c>
    </row>
    <row r="70" spans="1:8" ht="31.5">
      <c r="A70" s="166">
        <v>7</v>
      </c>
      <c r="B70" s="255" t="s">
        <v>373</v>
      </c>
      <c r="C70" s="225" t="s">
        <v>330</v>
      </c>
      <c r="D70" s="245">
        <v>1300</v>
      </c>
      <c r="E70" s="182">
        <v>1076414000</v>
      </c>
      <c r="F70" s="182">
        <v>1031.0909999999999</v>
      </c>
      <c r="G70" s="175">
        <v>45.323</v>
      </c>
      <c r="H70" s="170" t="s">
        <v>315</v>
      </c>
    </row>
    <row r="71" spans="1:8" ht="25.5" customHeight="1">
      <c r="A71" s="166">
        <v>8</v>
      </c>
      <c r="B71" s="255" t="s">
        <v>374</v>
      </c>
      <c r="C71" s="225" t="s">
        <v>159</v>
      </c>
      <c r="D71" s="245">
        <v>11850</v>
      </c>
      <c r="E71" s="182">
        <v>197080000</v>
      </c>
      <c r="F71" s="182">
        <v>140</v>
      </c>
      <c r="G71" s="175">
        <v>57.08</v>
      </c>
      <c r="H71" s="170" t="s">
        <v>315</v>
      </c>
    </row>
    <row r="72" spans="1:8" ht="25.5" customHeight="1">
      <c r="A72" s="166">
        <v>9</v>
      </c>
      <c r="B72" s="255" t="s">
        <v>375</v>
      </c>
      <c r="C72" s="225" t="s">
        <v>159</v>
      </c>
      <c r="D72" s="245">
        <v>1400</v>
      </c>
      <c r="E72" s="182">
        <v>101415000</v>
      </c>
      <c r="F72" s="182">
        <v>98.593999999999994</v>
      </c>
      <c r="G72" s="175">
        <v>2.8210000000000002</v>
      </c>
      <c r="H72" s="170" t="s">
        <v>315</v>
      </c>
    </row>
    <row r="73" spans="1:8" ht="31.5">
      <c r="A73" s="166">
        <v>10</v>
      </c>
      <c r="B73" s="256" t="s">
        <v>376</v>
      </c>
      <c r="C73" s="225" t="s">
        <v>330</v>
      </c>
      <c r="D73" s="245">
        <v>3900</v>
      </c>
      <c r="E73" s="182">
        <v>3492604000</v>
      </c>
      <c r="F73" s="182">
        <v>3485.194</v>
      </c>
      <c r="G73" s="175">
        <v>7.41</v>
      </c>
      <c r="H73" s="170" t="s">
        <v>315</v>
      </c>
    </row>
    <row r="74" spans="1:8" ht="31.5">
      <c r="A74" s="166">
        <v>11</v>
      </c>
      <c r="B74" s="255" t="s">
        <v>377</v>
      </c>
      <c r="C74" s="225" t="s">
        <v>330</v>
      </c>
      <c r="D74" s="245">
        <v>4100</v>
      </c>
      <c r="E74" s="182">
        <v>4065244000</v>
      </c>
      <c r="F74" s="182">
        <v>4026.808</v>
      </c>
      <c r="G74" s="175">
        <v>38.436</v>
      </c>
      <c r="H74" s="170" t="s">
        <v>315</v>
      </c>
    </row>
    <row r="75" spans="1:8" ht="31.5">
      <c r="A75" s="166">
        <v>12</v>
      </c>
      <c r="B75" s="257" t="s">
        <v>378</v>
      </c>
      <c r="C75" s="225" t="s">
        <v>330</v>
      </c>
      <c r="D75" s="169">
        <v>2500</v>
      </c>
      <c r="E75" s="182">
        <v>2144760000</v>
      </c>
      <c r="F75" s="182">
        <v>500</v>
      </c>
      <c r="G75" s="175">
        <v>1644.76</v>
      </c>
      <c r="H75" s="170" t="s">
        <v>315</v>
      </c>
    </row>
    <row r="76" spans="1:8" ht="31.5">
      <c r="A76" s="166">
        <v>13</v>
      </c>
      <c r="B76" s="257" t="s">
        <v>379</v>
      </c>
      <c r="C76" s="225" t="s">
        <v>330</v>
      </c>
      <c r="D76" s="169">
        <v>2500</v>
      </c>
      <c r="E76" s="182">
        <v>156000000</v>
      </c>
      <c r="F76" s="182">
        <v>1500</v>
      </c>
      <c r="G76" s="169">
        <f>750+0.554</f>
        <v>750.55399999999997</v>
      </c>
      <c r="H76" s="170" t="s">
        <v>339</v>
      </c>
    </row>
    <row r="77" spans="1:8" ht="25.5" customHeight="1">
      <c r="A77" s="240" t="s">
        <v>4</v>
      </c>
      <c r="B77" s="258" t="s">
        <v>341</v>
      </c>
      <c r="C77" s="192"/>
      <c r="D77" s="242">
        <f>D78</f>
        <v>6400</v>
      </c>
      <c r="E77" s="242">
        <f t="shared" ref="E77:G77" si="10">E78</f>
        <v>0</v>
      </c>
      <c r="F77" s="242">
        <f t="shared" si="10"/>
        <v>0</v>
      </c>
      <c r="G77" s="242">
        <f t="shared" si="10"/>
        <v>4600</v>
      </c>
      <c r="H77" s="170"/>
    </row>
    <row r="78" spans="1:8" ht="25.5" customHeight="1">
      <c r="A78" s="240" t="s">
        <v>298</v>
      </c>
      <c r="B78" s="258" t="s">
        <v>346</v>
      </c>
      <c r="C78" s="192"/>
      <c r="D78" s="242">
        <f>SUM(D79:D85)</f>
        <v>6400</v>
      </c>
      <c r="E78" s="242">
        <f t="shared" ref="E78:G78" si="11">SUM(E79:E85)</f>
        <v>0</v>
      </c>
      <c r="F78" s="242">
        <f t="shared" si="11"/>
        <v>0</v>
      </c>
      <c r="G78" s="242">
        <f t="shared" si="11"/>
        <v>4600</v>
      </c>
      <c r="H78" s="170"/>
    </row>
    <row r="79" spans="1:8" ht="25.5" customHeight="1">
      <c r="A79" s="166">
        <v>1</v>
      </c>
      <c r="B79" s="255" t="s">
        <v>380</v>
      </c>
      <c r="C79" s="192" t="s">
        <v>164</v>
      </c>
      <c r="D79" s="169">
        <v>1200</v>
      </c>
      <c r="E79" s="182"/>
      <c r="F79" s="182"/>
      <c r="G79" s="175">
        <v>1000</v>
      </c>
      <c r="H79" s="170"/>
    </row>
    <row r="80" spans="1:8" ht="25.5" customHeight="1">
      <c r="A80" s="166">
        <v>2</v>
      </c>
      <c r="B80" s="255" t="s">
        <v>381</v>
      </c>
      <c r="C80" s="192" t="s">
        <v>147</v>
      </c>
      <c r="D80" s="169">
        <v>1100</v>
      </c>
      <c r="E80" s="182"/>
      <c r="F80" s="182"/>
      <c r="G80" s="175">
        <v>800</v>
      </c>
      <c r="H80" s="170"/>
    </row>
    <row r="81" spans="1:8" ht="25.5" customHeight="1">
      <c r="A81" s="166">
        <v>3</v>
      </c>
      <c r="B81" s="255" t="s">
        <v>382</v>
      </c>
      <c r="C81" s="192" t="s">
        <v>156</v>
      </c>
      <c r="D81" s="169">
        <v>650</v>
      </c>
      <c r="E81" s="182"/>
      <c r="F81" s="182"/>
      <c r="G81" s="175">
        <v>400</v>
      </c>
      <c r="H81" s="170"/>
    </row>
    <row r="82" spans="1:8" ht="25.5" customHeight="1">
      <c r="A82" s="166">
        <v>4</v>
      </c>
      <c r="B82" s="255" t="s">
        <v>383</v>
      </c>
      <c r="C82" s="192" t="s">
        <v>154</v>
      </c>
      <c r="D82" s="169">
        <v>650</v>
      </c>
      <c r="E82" s="182"/>
      <c r="F82" s="182"/>
      <c r="G82" s="175">
        <v>400</v>
      </c>
      <c r="H82" s="170"/>
    </row>
    <row r="83" spans="1:8" ht="25.5" customHeight="1">
      <c r="A83" s="166">
        <v>5</v>
      </c>
      <c r="B83" s="255" t="s">
        <v>384</v>
      </c>
      <c r="C83" s="192" t="s">
        <v>157</v>
      </c>
      <c r="D83" s="169">
        <v>650</v>
      </c>
      <c r="E83" s="182"/>
      <c r="F83" s="182"/>
      <c r="G83" s="175">
        <v>400</v>
      </c>
      <c r="H83" s="170"/>
    </row>
    <row r="84" spans="1:8" ht="25.5" customHeight="1">
      <c r="A84" s="166">
        <v>6</v>
      </c>
      <c r="B84" s="255" t="s">
        <v>385</v>
      </c>
      <c r="C84" s="192" t="s">
        <v>162</v>
      </c>
      <c r="D84" s="169">
        <v>850</v>
      </c>
      <c r="E84" s="182"/>
      <c r="F84" s="182"/>
      <c r="G84" s="175">
        <v>600</v>
      </c>
      <c r="H84" s="170"/>
    </row>
    <row r="85" spans="1:8" ht="25.5" customHeight="1">
      <c r="A85" s="166">
        <v>7</v>
      </c>
      <c r="B85" s="255" t="s">
        <v>386</v>
      </c>
      <c r="C85" s="192" t="s">
        <v>160</v>
      </c>
      <c r="D85" s="169">
        <v>1300</v>
      </c>
      <c r="E85" s="182"/>
      <c r="F85" s="182"/>
      <c r="G85" s="175">
        <v>1000</v>
      </c>
      <c r="H85" s="170"/>
    </row>
    <row r="86" spans="1:8" ht="25.5" customHeight="1">
      <c r="A86" s="240" t="s">
        <v>213</v>
      </c>
      <c r="B86" s="259" t="s">
        <v>387</v>
      </c>
      <c r="C86" s="166"/>
      <c r="D86" s="260">
        <f>D87</f>
        <v>4500</v>
      </c>
      <c r="E86" s="260">
        <f t="shared" ref="E86:G87" si="12">E87</f>
        <v>0</v>
      </c>
      <c r="F86" s="260">
        <f t="shared" si="12"/>
        <v>0</v>
      </c>
      <c r="G86" s="260">
        <f t="shared" si="12"/>
        <v>2537</v>
      </c>
      <c r="H86" s="166"/>
    </row>
    <row r="87" spans="1:8" ht="25.5" customHeight="1">
      <c r="A87" s="240" t="s">
        <v>3</v>
      </c>
      <c r="B87" s="258" t="s">
        <v>341</v>
      </c>
      <c r="C87" s="166"/>
      <c r="D87" s="260">
        <f>D88</f>
        <v>4500</v>
      </c>
      <c r="E87" s="260">
        <f t="shared" si="12"/>
        <v>0</v>
      </c>
      <c r="F87" s="260">
        <f t="shared" si="12"/>
        <v>0</v>
      </c>
      <c r="G87" s="260">
        <f t="shared" si="12"/>
        <v>2537</v>
      </c>
      <c r="H87" s="166"/>
    </row>
    <row r="88" spans="1:8" ht="25.5" customHeight="1">
      <c r="A88" s="240" t="s">
        <v>298</v>
      </c>
      <c r="B88" s="258" t="s">
        <v>360</v>
      </c>
      <c r="C88" s="166"/>
      <c r="D88" s="260">
        <f>SUM(D89:D89)</f>
        <v>4500</v>
      </c>
      <c r="E88" s="260">
        <f>SUM(E89:E89)</f>
        <v>0</v>
      </c>
      <c r="F88" s="260">
        <f>SUM(F89:F89)</f>
        <v>0</v>
      </c>
      <c r="G88" s="260">
        <f>SUM(G89:G89)</f>
        <v>2537</v>
      </c>
      <c r="H88" s="166"/>
    </row>
    <row r="89" spans="1:8" ht="25.5" customHeight="1">
      <c r="A89" s="166">
        <v>1</v>
      </c>
      <c r="B89" s="249" t="s">
        <v>388</v>
      </c>
      <c r="C89" s="166" t="s">
        <v>150</v>
      </c>
      <c r="D89" s="261">
        <v>4500</v>
      </c>
      <c r="E89" s="262"/>
      <c r="F89" s="262"/>
      <c r="G89" s="262">
        <v>2537</v>
      </c>
      <c r="H89" s="166"/>
    </row>
  </sheetData>
  <mergeCells count="12">
    <mergeCell ref="H5:H6"/>
    <mergeCell ref="G1:H1"/>
    <mergeCell ref="A2:H2"/>
    <mergeCell ref="A3:H3"/>
    <mergeCell ref="G4:H4"/>
    <mergeCell ref="A5:A6"/>
    <mergeCell ref="B5:B6"/>
    <mergeCell ref="C5:C6"/>
    <mergeCell ref="D5:D6"/>
    <mergeCell ref="E5:E6"/>
    <mergeCell ref="F5:F6"/>
    <mergeCell ref="G5:G6"/>
  </mergeCells>
  <pageMargins left="0.70866141732283472" right="0.43307086614173229" top="0.55118110236220474" bottom="0.59055118110236227" header="0.31496062992125984" footer="0.23622047244094491"/>
  <pageSetup paperSize="9" orientation="landscape" verticalDpi="4294967295"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Z33"/>
  <sheetViews>
    <sheetView zoomScale="70" zoomScaleNormal="70" workbookViewId="0">
      <selection activeCell="Y6" sqref="Y6"/>
    </sheetView>
  </sheetViews>
  <sheetFormatPr defaultColWidth="11.5703125" defaultRowHeight="15.75"/>
  <cols>
    <col min="1" max="1" width="6.7109375" style="154" customWidth="1"/>
    <col min="2" max="2" width="51.85546875" style="172" customWidth="1"/>
    <col min="3" max="3" width="19.28515625" style="154" bestFit="1" customWidth="1"/>
    <col min="4" max="4" width="14" style="172" customWidth="1"/>
    <col min="5" max="5" width="12.7109375" style="172" hidden="1" customWidth="1"/>
    <col min="6" max="6" width="11.85546875" style="172" hidden="1" customWidth="1"/>
    <col min="7" max="7" width="14.28515625" style="172" hidden="1" customWidth="1"/>
    <col min="8" max="10" width="17" style="172" hidden="1" customWidth="1"/>
    <col min="11" max="11" width="0.5703125" style="172" hidden="1" customWidth="1"/>
    <col min="12" max="12" width="14" style="172" customWidth="1"/>
    <col min="13" max="13" width="15.140625" style="172" hidden="1" customWidth="1"/>
    <col min="14" max="14" width="13.28515625" style="172" hidden="1" customWidth="1"/>
    <col min="15" max="15" width="14.5703125" style="172" hidden="1" customWidth="1"/>
    <col min="16" max="16" width="5" style="172" hidden="1" customWidth="1"/>
    <col min="17" max="17" width="14" style="172" customWidth="1"/>
    <col min="18" max="18" width="14" style="201" customWidth="1"/>
    <col min="19" max="19" width="15.5703125" style="172" hidden="1" customWidth="1"/>
    <col min="20" max="20" width="26.140625" style="172" hidden="1" customWidth="1"/>
    <col min="21" max="21" width="11.5703125" style="172"/>
    <col min="22" max="22" width="24.42578125" style="172" hidden="1" customWidth="1"/>
    <col min="23" max="23" width="0" style="172" hidden="1" customWidth="1"/>
    <col min="24" max="24" width="13.85546875" style="172" customWidth="1"/>
    <col min="25" max="256" width="11.5703125" style="172"/>
    <col min="257" max="257" width="6.7109375" style="172" customWidth="1"/>
    <col min="258" max="258" width="60.85546875" style="172" customWidth="1"/>
    <col min="259" max="259" width="22.85546875" style="172" customWidth="1"/>
    <col min="260" max="260" width="15.140625" style="172" customWidth="1"/>
    <col min="261" max="267" width="0" style="172" hidden="1" customWidth="1"/>
    <col min="268" max="268" width="18.5703125" style="172" customWidth="1"/>
    <col min="269" max="272" width="0" style="172" hidden="1" customWidth="1"/>
    <col min="273" max="273" width="19.140625" style="172" customWidth="1"/>
    <col min="274" max="274" width="17.85546875" style="172" customWidth="1"/>
    <col min="275" max="276" width="0" style="172" hidden="1" customWidth="1"/>
    <col min="277" max="277" width="11.5703125" style="172"/>
    <col min="278" max="279" width="0" style="172" hidden="1" customWidth="1"/>
    <col min="280" max="280" width="13.85546875" style="172" customWidth="1"/>
    <col min="281" max="512" width="11.5703125" style="172"/>
    <col min="513" max="513" width="6.7109375" style="172" customWidth="1"/>
    <col min="514" max="514" width="60.85546875" style="172" customWidth="1"/>
    <col min="515" max="515" width="22.85546875" style="172" customWidth="1"/>
    <col min="516" max="516" width="15.140625" style="172" customWidth="1"/>
    <col min="517" max="523" width="0" style="172" hidden="1" customWidth="1"/>
    <col min="524" max="524" width="18.5703125" style="172" customWidth="1"/>
    <col min="525" max="528" width="0" style="172" hidden="1" customWidth="1"/>
    <col min="529" max="529" width="19.140625" style="172" customWidth="1"/>
    <col min="530" max="530" width="17.85546875" style="172" customWidth="1"/>
    <col min="531" max="532" width="0" style="172" hidden="1" customWidth="1"/>
    <col min="533" max="533" width="11.5703125" style="172"/>
    <col min="534" max="535" width="0" style="172" hidden="1" customWidth="1"/>
    <col min="536" max="536" width="13.85546875" style="172" customWidth="1"/>
    <col min="537" max="768" width="11.5703125" style="172"/>
    <col min="769" max="769" width="6.7109375" style="172" customWidth="1"/>
    <col min="770" max="770" width="60.85546875" style="172" customWidth="1"/>
    <col min="771" max="771" width="22.85546875" style="172" customWidth="1"/>
    <col min="772" max="772" width="15.140625" style="172" customWidth="1"/>
    <col min="773" max="779" width="0" style="172" hidden="1" customWidth="1"/>
    <col min="780" max="780" width="18.5703125" style="172" customWidth="1"/>
    <col min="781" max="784" width="0" style="172" hidden="1" customWidth="1"/>
    <col min="785" max="785" width="19.140625" style="172" customWidth="1"/>
    <col min="786" max="786" width="17.85546875" style="172" customWidth="1"/>
    <col min="787" max="788" width="0" style="172" hidden="1" customWidth="1"/>
    <col min="789" max="789" width="11.5703125" style="172"/>
    <col min="790" max="791" width="0" style="172" hidden="1" customWidth="1"/>
    <col min="792" max="792" width="13.85546875" style="172" customWidth="1"/>
    <col min="793" max="1024" width="11.5703125" style="172"/>
    <col min="1025" max="1025" width="6.7109375" style="172" customWidth="1"/>
    <col min="1026" max="1026" width="60.85546875" style="172" customWidth="1"/>
    <col min="1027" max="1027" width="22.85546875" style="172" customWidth="1"/>
    <col min="1028" max="1028" width="15.140625" style="172" customWidth="1"/>
    <col min="1029" max="1035" width="0" style="172" hidden="1" customWidth="1"/>
    <col min="1036" max="1036" width="18.5703125" style="172" customWidth="1"/>
    <col min="1037" max="1040" width="0" style="172" hidden="1" customWidth="1"/>
    <col min="1041" max="1041" width="19.140625" style="172" customWidth="1"/>
    <col min="1042" max="1042" width="17.85546875" style="172" customWidth="1"/>
    <col min="1043" max="1044" width="0" style="172" hidden="1" customWidth="1"/>
    <col min="1045" max="1045" width="11.5703125" style="172"/>
    <col min="1046" max="1047" width="0" style="172" hidden="1" customWidth="1"/>
    <col min="1048" max="1048" width="13.85546875" style="172" customWidth="1"/>
    <col min="1049" max="1280" width="11.5703125" style="172"/>
    <col min="1281" max="1281" width="6.7109375" style="172" customWidth="1"/>
    <col min="1282" max="1282" width="60.85546875" style="172" customWidth="1"/>
    <col min="1283" max="1283" width="22.85546875" style="172" customWidth="1"/>
    <col min="1284" max="1284" width="15.140625" style="172" customWidth="1"/>
    <col min="1285" max="1291" width="0" style="172" hidden="1" customWidth="1"/>
    <col min="1292" max="1292" width="18.5703125" style="172" customWidth="1"/>
    <col min="1293" max="1296" width="0" style="172" hidden="1" customWidth="1"/>
    <col min="1297" max="1297" width="19.140625" style="172" customWidth="1"/>
    <col min="1298" max="1298" width="17.85546875" style="172" customWidth="1"/>
    <col min="1299" max="1300" width="0" style="172" hidden="1" customWidth="1"/>
    <col min="1301" max="1301" width="11.5703125" style="172"/>
    <col min="1302" max="1303" width="0" style="172" hidden="1" customWidth="1"/>
    <col min="1304" max="1304" width="13.85546875" style="172" customWidth="1"/>
    <col min="1305" max="1536" width="11.5703125" style="172"/>
    <col min="1537" max="1537" width="6.7109375" style="172" customWidth="1"/>
    <col min="1538" max="1538" width="60.85546875" style="172" customWidth="1"/>
    <col min="1539" max="1539" width="22.85546875" style="172" customWidth="1"/>
    <col min="1540" max="1540" width="15.140625" style="172" customWidth="1"/>
    <col min="1541" max="1547" width="0" style="172" hidden="1" customWidth="1"/>
    <col min="1548" max="1548" width="18.5703125" style="172" customWidth="1"/>
    <col min="1549" max="1552" width="0" style="172" hidden="1" customWidth="1"/>
    <col min="1553" max="1553" width="19.140625" style="172" customWidth="1"/>
    <col min="1554" max="1554" width="17.85546875" style="172" customWidth="1"/>
    <col min="1555" max="1556" width="0" style="172" hidden="1" customWidth="1"/>
    <col min="1557" max="1557" width="11.5703125" style="172"/>
    <col min="1558" max="1559" width="0" style="172" hidden="1" customWidth="1"/>
    <col min="1560" max="1560" width="13.85546875" style="172" customWidth="1"/>
    <col min="1561" max="1792" width="11.5703125" style="172"/>
    <col min="1793" max="1793" width="6.7109375" style="172" customWidth="1"/>
    <col min="1794" max="1794" width="60.85546875" style="172" customWidth="1"/>
    <col min="1795" max="1795" width="22.85546875" style="172" customWidth="1"/>
    <col min="1796" max="1796" width="15.140625" style="172" customWidth="1"/>
    <col min="1797" max="1803" width="0" style="172" hidden="1" customWidth="1"/>
    <col min="1804" max="1804" width="18.5703125" style="172" customWidth="1"/>
    <col min="1805" max="1808" width="0" style="172" hidden="1" customWidth="1"/>
    <col min="1809" max="1809" width="19.140625" style="172" customWidth="1"/>
    <col min="1810" max="1810" width="17.85546875" style="172" customWidth="1"/>
    <col min="1811" max="1812" width="0" style="172" hidden="1" customWidth="1"/>
    <col min="1813" max="1813" width="11.5703125" style="172"/>
    <col min="1814" max="1815" width="0" style="172" hidden="1" customWidth="1"/>
    <col min="1816" max="1816" width="13.85546875" style="172" customWidth="1"/>
    <col min="1817" max="2048" width="11.5703125" style="172"/>
    <col min="2049" max="2049" width="6.7109375" style="172" customWidth="1"/>
    <col min="2050" max="2050" width="60.85546875" style="172" customWidth="1"/>
    <col min="2051" max="2051" width="22.85546875" style="172" customWidth="1"/>
    <col min="2052" max="2052" width="15.140625" style="172" customWidth="1"/>
    <col min="2053" max="2059" width="0" style="172" hidden="1" customWidth="1"/>
    <col min="2060" max="2060" width="18.5703125" style="172" customWidth="1"/>
    <col min="2061" max="2064" width="0" style="172" hidden="1" customWidth="1"/>
    <col min="2065" max="2065" width="19.140625" style="172" customWidth="1"/>
    <col min="2066" max="2066" width="17.85546875" style="172" customWidth="1"/>
    <col min="2067" max="2068" width="0" style="172" hidden="1" customWidth="1"/>
    <col min="2069" max="2069" width="11.5703125" style="172"/>
    <col min="2070" max="2071" width="0" style="172" hidden="1" customWidth="1"/>
    <col min="2072" max="2072" width="13.85546875" style="172" customWidth="1"/>
    <col min="2073" max="2304" width="11.5703125" style="172"/>
    <col min="2305" max="2305" width="6.7109375" style="172" customWidth="1"/>
    <col min="2306" max="2306" width="60.85546875" style="172" customWidth="1"/>
    <col min="2307" max="2307" width="22.85546875" style="172" customWidth="1"/>
    <col min="2308" max="2308" width="15.140625" style="172" customWidth="1"/>
    <col min="2309" max="2315" width="0" style="172" hidden="1" customWidth="1"/>
    <col min="2316" max="2316" width="18.5703125" style="172" customWidth="1"/>
    <col min="2317" max="2320" width="0" style="172" hidden="1" customWidth="1"/>
    <col min="2321" max="2321" width="19.140625" style="172" customWidth="1"/>
    <col min="2322" max="2322" width="17.85546875" style="172" customWidth="1"/>
    <col min="2323" max="2324" width="0" style="172" hidden="1" customWidth="1"/>
    <col min="2325" max="2325" width="11.5703125" style="172"/>
    <col min="2326" max="2327" width="0" style="172" hidden="1" customWidth="1"/>
    <col min="2328" max="2328" width="13.85546875" style="172" customWidth="1"/>
    <col min="2329" max="2560" width="11.5703125" style="172"/>
    <col min="2561" max="2561" width="6.7109375" style="172" customWidth="1"/>
    <col min="2562" max="2562" width="60.85546875" style="172" customWidth="1"/>
    <col min="2563" max="2563" width="22.85546875" style="172" customWidth="1"/>
    <col min="2564" max="2564" width="15.140625" style="172" customWidth="1"/>
    <col min="2565" max="2571" width="0" style="172" hidden="1" customWidth="1"/>
    <col min="2572" max="2572" width="18.5703125" style="172" customWidth="1"/>
    <col min="2573" max="2576" width="0" style="172" hidden="1" customWidth="1"/>
    <col min="2577" max="2577" width="19.140625" style="172" customWidth="1"/>
    <col min="2578" max="2578" width="17.85546875" style="172" customWidth="1"/>
    <col min="2579" max="2580" width="0" style="172" hidden="1" customWidth="1"/>
    <col min="2581" max="2581" width="11.5703125" style="172"/>
    <col min="2582" max="2583" width="0" style="172" hidden="1" customWidth="1"/>
    <col min="2584" max="2584" width="13.85546875" style="172" customWidth="1"/>
    <col min="2585" max="2816" width="11.5703125" style="172"/>
    <col min="2817" max="2817" width="6.7109375" style="172" customWidth="1"/>
    <col min="2818" max="2818" width="60.85546875" style="172" customWidth="1"/>
    <col min="2819" max="2819" width="22.85546875" style="172" customWidth="1"/>
    <col min="2820" max="2820" width="15.140625" style="172" customWidth="1"/>
    <col min="2821" max="2827" width="0" style="172" hidden="1" customWidth="1"/>
    <col min="2828" max="2828" width="18.5703125" style="172" customWidth="1"/>
    <col min="2829" max="2832" width="0" style="172" hidden="1" customWidth="1"/>
    <col min="2833" max="2833" width="19.140625" style="172" customWidth="1"/>
    <col min="2834" max="2834" width="17.85546875" style="172" customWidth="1"/>
    <col min="2835" max="2836" width="0" style="172" hidden="1" customWidth="1"/>
    <col min="2837" max="2837" width="11.5703125" style="172"/>
    <col min="2838" max="2839" width="0" style="172" hidden="1" customWidth="1"/>
    <col min="2840" max="2840" width="13.85546875" style="172" customWidth="1"/>
    <col min="2841" max="3072" width="11.5703125" style="172"/>
    <col min="3073" max="3073" width="6.7109375" style="172" customWidth="1"/>
    <col min="3074" max="3074" width="60.85546875" style="172" customWidth="1"/>
    <col min="3075" max="3075" width="22.85546875" style="172" customWidth="1"/>
    <col min="3076" max="3076" width="15.140625" style="172" customWidth="1"/>
    <col min="3077" max="3083" width="0" style="172" hidden="1" customWidth="1"/>
    <col min="3084" max="3084" width="18.5703125" style="172" customWidth="1"/>
    <col min="3085" max="3088" width="0" style="172" hidden="1" customWidth="1"/>
    <col min="3089" max="3089" width="19.140625" style="172" customWidth="1"/>
    <col min="3090" max="3090" width="17.85546875" style="172" customWidth="1"/>
    <col min="3091" max="3092" width="0" style="172" hidden="1" customWidth="1"/>
    <col min="3093" max="3093" width="11.5703125" style="172"/>
    <col min="3094" max="3095" width="0" style="172" hidden="1" customWidth="1"/>
    <col min="3096" max="3096" width="13.85546875" style="172" customWidth="1"/>
    <col min="3097" max="3328" width="11.5703125" style="172"/>
    <col min="3329" max="3329" width="6.7109375" style="172" customWidth="1"/>
    <col min="3330" max="3330" width="60.85546875" style="172" customWidth="1"/>
    <col min="3331" max="3331" width="22.85546875" style="172" customWidth="1"/>
    <col min="3332" max="3332" width="15.140625" style="172" customWidth="1"/>
    <col min="3333" max="3339" width="0" style="172" hidden="1" customWidth="1"/>
    <col min="3340" max="3340" width="18.5703125" style="172" customWidth="1"/>
    <col min="3341" max="3344" width="0" style="172" hidden="1" customWidth="1"/>
    <col min="3345" max="3345" width="19.140625" style="172" customWidth="1"/>
    <col min="3346" max="3346" width="17.85546875" style="172" customWidth="1"/>
    <col min="3347" max="3348" width="0" style="172" hidden="1" customWidth="1"/>
    <col min="3349" max="3349" width="11.5703125" style="172"/>
    <col min="3350" max="3351" width="0" style="172" hidden="1" customWidth="1"/>
    <col min="3352" max="3352" width="13.85546875" style="172" customWidth="1"/>
    <col min="3353" max="3584" width="11.5703125" style="172"/>
    <col min="3585" max="3585" width="6.7109375" style="172" customWidth="1"/>
    <col min="3586" max="3586" width="60.85546875" style="172" customWidth="1"/>
    <col min="3587" max="3587" width="22.85546875" style="172" customWidth="1"/>
    <col min="3588" max="3588" width="15.140625" style="172" customWidth="1"/>
    <col min="3589" max="3595" width="0" style="172" hidden="1" customWidth="1"/>
    <col min="3596" max="3596" width="18.5703125" style="172" customWidth="1"/>
    <col min="3597" max="3600" width="0" style="172" hidden="1" customWidth="1"/>
    <col min="3601" max="3601" width="19.140625" style="172" customWidth="1"/>
    <col min="3602" max="3602" width="17.85546875" style="172" customWidth="1"/>
    <col min="3603" max="3604" width="0" style="172" hidden="1" customWidth="1"/>
    <col min="3605" max="3605" width="11.5703125" style="172"/>
    <col min="3606" max="3607" width="0" style="172" hidden="1" customWidth="1"/>
    <col min="3608" max="3608" width="13.85546875" style="172" customWidth="1"/>
    <col min="3609" max="3840" width="11.5703125" style="172"/>
    <col min="3841" max="3841" width="6.7109375" style="172" customWidth="1"/>
    <col min="3842" max="3842" width="60.85546875" style="172" customWidth="1"/>
    <col min="3843" max="3843" width="22.85546875" style="172" customWidth="1"/>
    <col min="3844" max="3844" width="15.140625" style="172" customWidth="1"/>
    <col min="3845" max="3851" width="0" style="172" hidden="1" customWidth="1"/>
    <col min="3852" max="3852" width="18.5703125" style="172" customWidth="1"/>
    <col min="3853" max="3856" width="0" style="172" hidden="1" customWidth="1"/>
    <col min="3857" max="3857" width="19.140625" style="172" customWidth="1"/>
    <col min="3858" max="3858" width="17.85546875" style="172" customWidth="1"/>
    <col min="3859" max="3860" width="0" style="172" hidden="1" customWidth="1"/>
    <col min="3861" max="3861" width="11.5703125" style="172"/>
    <col min="3862" max="3863" width="0" style="172" hidden="1" customWidth="1"/>
    <col min="3864" max="3864" width="13.85546875" style="172" customWidth="1"/>
    <col min="3865" max="4096" width="11.5703125" style="172"/>
    <col min="4097" max="4097" width="6.7109375" style="172" customWidth="1"/>
    <col min="4098" max="4098" width="60.85546875" style="172" customWidth="1"/>
    <col min="4099" max="4099" width="22.85546875" style="172" customWidth="1"/>
    <col min="4100" max="4100" width="15.140625" style="172" customWidth="1"/>
    <col min="4101" max="4107" width="0" style="172" hidden="1" customWidth="1"/>
    <col min="4108" max="4108" width="18.5703125" style="172" customWidth="1"/>
    <col min="4109" max="4112" width="0" style="172" hidden="1" customWidth="1"/>
    <col min="4113" max="4113" width="19.140625" style="172" customWidth="1"/>
    <col min="4114" max="4114" width="17.85546875" style="172" customWidth="1"/>
    <col min="4115" max="4116" width="0" style="172" hidden="1" customWidth="1"/>
    <col min="4117" max="4117" width="11.5703125" style="172"/>
    <col min="4118" max="4119" width="0" style="172" hidden="1" customWidth="1"/>
    <col min="4120" max="4120" width="13.85546875" style="172" customWidth="1"/>
    <col min="4121" max="4352" width="11.5703125" style="172"/>
    <col min="4353" max="4353" width="6.7109375" style="172" customWidth="1"/>
    <col min="4354" max="4354" width="60.85546875" style="172" customWidth="1"/>
    <col min="4355" max="4355" width="22.85546875" style="172" customWidth="1"/>
    <col min="4356" max="4356" width="15.140625" style="172" customWidth="1"/>
    <col min="4357" max="4363" width="0" style="172" hidden="1" customWidth="1"/>
    <col min="4364" max="4364" width="18.5703125" style="172" customWidth="1"/>
    <col min="4365" max="4368" width="0" style="172" hidden="1" customWidth="1"/>
    <col min="4369" max="4369" width="19.140625" style="172" customWidth="1"/>
    <col min="4370" max="4370" width="17.85546875" style="172" customWidth="1"/>
    <col min="4371" max="4372" width="0" style="172" hidden="1" customWidth="1"/>
    <col min="4373" max="4373" width="11.5703125" style="172"/>
    <col min="4374" max="4375" width="0" style="172" hidden="1" customWidth="1"/>
    <col min="4376" max="4376" width="13.85546875" style="172" customWidth="1"/>
    <col min="4377" max="4608" width="11.5703125" style="172"/>
    <col min="4609" max="4609" width="6.7109375" style="172" customWidth="1"/>
    <col min="4610" max="4610" width="60.85546875" style="172" customWidth="1"/>
    <col min="4611" max="4611" width="22.85546875" style="172" customWidth="1"/>
    <col min="4612" max="4612" width="15.140625" style="172" customWidth="1"/>
    <col min="4613" max="4619" width="0" style="172" hidden="1" customWidth="1"/>
    <col min="4620" max="4620" width="18.5703125" style="172" customWidth="1"/>
    <col min="4621" max="4624" width="0" style="172" hidden="1" customWidth="1"/>
    <col min="4625" max="4625" width="19.140625" style="172" customWidth="1"/>
    <col min="4626" max="4626" width="17.85546875" style="172" customWidth="1"/>
    <col min="4627" max="4628" width="0" style="172" hidden="1" customWidth="1"/>
    <col min="4629" max="4629" width="11.5703125" style="172"/>
    <col min="4630" max="4631" width="0" style="172" hidden="1" customWidth="1"/>
    <col min="4632" max="4632" width="13.85546875" style="172" customWidth="1"/>
    <col min="4633" max="4864" width="11.5703125" style="172"/>
    <col min="4865" max="4865" width="6.7109375" style="172" customWidth="1"/>
    <col min="4866" max="4866" width="60.85546875" style="172" customWidth="1"/>
    <col min="4867" max="4867" width="22.85546875" style="172" customWidth="1"/>
    <col min="4868" max="4868" width="15.140625" style="172" customWidth="1"/>
    <col min="4869" max="4875" width="0" style="172" hidden="1" customWidth="1"/>
    <col min="4876" max="4876" width="18.5703125" style="172" customWidth="1"/>
    <col min="4877" max="4880" width="0" style="172" hidden="1" customWidth="1"/>
    <col min="4881" max="4881" width="19.140625" style="172" customWidth="1"/>
    <col min="4882" max="4882" width="17.85546875" style="172" customWidth="1"/>
    <col min="4883" max="4884" width="0" style="172" hidden="1" customWidth="1"/>
    <col min="4885" max="4885" width="11.5703125" style="172"/>
    <col min="4886" max="4887" width="0" style="172" hidden="1" customWidth="1"/>
    <col min="4888" max="4888" width="13.85546875" style="172" customWidth="1"/>
    <col min="4889" max="5120" width="11.5703125" style="172"/>
    <col min="5121" max="5121" width="6.7109375" style="172" customWidth="1"/>
    <col min="5122" max="5122" width="60.85546875" style="172" customWidth="1"/>
    <col min="5123" max="5123" width="22.85546875" style="172" customWidth="1"/>
    <col min="5124" max="5124" width="15.140625" style="172" customWidth="1"/>
    <col min="5125" max="5131" width="0" style="172" hidden="1" customWidth="1"/>
    <col min="5132" max="5132" width="18.5703125" style="172" customWidth="1"/>
    <col min="5133" max="5136" width="0" style="172" hidden="1" customWidth="1"/>
    <col min="5137" max="5137" width="19.140625" style="172" customWidth="1"/>
    <col min="5138" max="5138" width="17.85546875" style="172" customWidth="1"/>
    <col min="5139" max="5140" width="0" style="172" hidden="1" customWidth="1"/>
    <col min="5141" max="5141" width="11.5703125" style="172"/>
    <col min="5142" max="5143" width="0" style="172" hidden="1" customWidth="1"/>
    <col min="5144" max="5144" width="13.85546875" style="172" customWidth="1"/>
    <col min="5145" max="5376" width="11.5703125" style="172"/>
    <col min="5377" max="5377" width="6.7109375" style="172" customWidth="1"/>
    <col min="5378" max="5378" width="60.85546875" style="172" customWidth="1"/>
    <col min="5379" max="5379" width="22.85546875" style="172" customWidth="1"/>
    <col min="5380" max="5380" width="15.140625" style="172" customWidth="1"/>
    <col min="5381" max="5387" width="0" style="172" hidden="1" customWidth="1"/>
    <col min="5388" max="5388" width="18.5703125" style="172" customWidth="1"/>
    <col min="5389" max="5392" width="0" style="172" hidden="1" customWidth="1"/>
    <col min="5393" max="5393" width="19.140625" style="172" customWidth="1"/>
    <col min="5394" max="5394" width="17.85546875" style="172" customWidth="1"/>
    <col min="5395" max="5396" width="0" style="172" hidden="1" customWidth="1"/>
    <col min="5397" max="5397" width="11.5703125" style="172"/>
    <col min="5398" max="5399" width="0" style="172" hidden="1" customWidth="1"/>
    <col min="5400" max="5400" width="13.85546875" style="172" customWidth="1"/>
    <col min="5401" max="5632" width="11.5703125" style="172"/>
    <col min="5633" max="5633" width="6.7109375" style="172" customWidth="1"/>
    <col min="5634" max="5634" width="60.85546875" style="172" customWidth="1"/>
    <col min="5635" max="5635" width="22.85546875" style="172" customWidth="1"/>
    <col min="5636" max="5636" width="15.140625" style="172" customWidth="1"/>
    <col min="5637" max="5643" width="0" style="172" hidden="1" customWidth="1"/>
    <col min="5644" max="5644" width="18.5703125" style="172" customWidth="1"/>
    <col min="5645" max="5648" width="0" style="172" hidden="1" customWidth="1"/>
    <col min="5649" max="5649" width="19.140625" style="172" customWidth="1"/>
    <col min="5650" max="5650" width="17.85546875" style="172" customWidth="1"/>
    <col min="5651" max="5652" width="0" style="172" hidden="1" customWidth="1"/>
    <col min="5653" max="5653" width="11.5703125" style="172"/>
    <col min="5654" max="5655" width="0" style="172" hidden="1" customWidth="1"/>
    <col min="5656" max="5656" width="13.85546875" style="172" customWidth="1"/>
    <col min="5657" max="5888" width="11.5703125" style="172"/>
    <col min="5889" max="5889" width="6.7109375" style="172" customWidth="1"/>
    <col min="5890" max="5890" width="60.85546875" style="172" customWidth="1"/>
    <col min="5891" max="5891" width="22.85546875" style="172" customWidth="1"/>
    <col min="5892" max="5892" width="15.140625" style="172" customWidth="1"/>
    <col min="5893" max="5899" width="0" style="172" hidden="1" customWidth="1"/>
    <col min="5900" max="5900" width="18.5703125" style="172" customWidth="1"/>
    <col min="5901" max="5904" width="0" style="172" hidden="1" customWidth="1"/>
    <col min="5905" max="5905" width="19.140625" style="172" customWidth="1"/>
    <col min="5906" max="5906" width="17.85546875" style="172" customWidth="1"/>
    <col min="5907" max="5908" width="0" style="172" hidden="1" customWidth="1"/>
    <col min="5909" max="5909" width="11.5703125" style="172"/>
    <col min="5910" max="5911" width="0" style="172" hidden="1" customWidth="1"/>
    <col min="5912" max="5912" width="13.85546875" style="172" customWidth="1"/>
    <col min="5913" max="6144" width="11.5703125" style="172"/>
    <col min="6145" max="6145" width="6.7109375" style="172" customWidth="1"/>
    <col min="6146" max="6146" width="60.85546875" style="172" customWidth="1"/>
    <col min="6147" max="6147" width="22.85546875" style="172" customWidth="1"/>
    <col min="6148" max="6148" width="15.140625" style="172" customWidth="1"/>
    <col min="6149" max="6155" width="0" style="172" hidden="1" customWidth="1"/>
    <col min="6156" max="6156" width="18.5703125" style="172" customWidth="1"/>
    <col min="6157" max="6160" width="0" style="172" hidden="1" customWidth="1"/>
    <col min="6161" max="6161" width="19.140625" style="172" customWidth="1"/>
    <col min="6162" max="6162" width="17.85546875" style="172" customWidth="1"/>
    <col min="6163" max="6164" width="0" style="172" hidden="1" customWidth="1"/>
    <col min="6165" max="6165" width="11.5703125" style="172"/>
    <col min="6166" max="6167" width="0" style="172" hidden="1" customWidth="1"/>
    <col min="6168" max="6168" width="13.85546875" style="172" customWidth="1"/>
    <col min="6169" max="6400" width="11.5703125" style="172"/>
    <col min="6401" max="6401" width="6.7109375" style="172" customWidth="1"/>
    <col min="6402" max="6402" width="60.85546875" style="172" customWidth="1"/>
    <col min="6403" max="6403" width="22.85546875" style="172" customWidth="1"/>
    <col min="6404" max="6404" width="15.140625" style="172" customWidth="1"/>
    <col min="6405" max="6411" width="0" style="172" hidden="1" customWidth="1"/>
    <col min="6412" max="6412" width="18.5703125" style="172" customWidth="1"/>
    <col min="6413" max="6416" width="0" style="172" hidden="1" customWidth="1"/>
    <col min="6417" max="6417" width="19.140625" style="172" customWidth="1"/>
    <col min="6418" max="6418" width="17.85546875" style="172" customWidth="1"/>
    <col min="6419" max="6420" width="0" style="172" hidden="1" customWidth="1"/>
    <col min="6421" max="6421" width="11.5703125" style="172"/>
    <col min="6422" max="6423" width="0" style="172" hidden="1" customWidth="1"/>
    <col min="6424" max="6424" width="13.85546875" style="172" customWidth="1"/>
    <col min="6425" max="6656" width="11.5703125" style="172"/>
    <col min="6657" max="6657" width="6.7109375" style="172" customWidth="1"/>
    <col min="6658" max="6658" width="60.85546875" style="172" customWidth="1"/>
    <col min="6659" max="6659" width="22.85546875" style="172" customWidth="1"/>
    <col min="6660" max="6660" width="15.140625" style="172" customWidth="1"/>
    <col min="6661" max="6667" width="0" style="172" hidden="1" customWidth="1"/>
    <col min="6668" max="6668" width="18.5703125" style="172" customWidth="1"/>
    <col min="6669" max="6672" width="0" style="172" hidden="1" customWidth="1"/>
    <col min="6673" max="6673" width="19.140625" style="172" customWidth="1"/>
    <col min="6674" max="6674" width="17.85546875" style="172" customWidth="1"/>
    <col min="6675" max="6676" width="0" style="172" hidden="1" customWidth="1"/>
    <col min="6677" max="6677" width="11.5703125" style="172"/>
    <col min="6678" max="6679" width="0" style="172" hidden="1" customWidth="1"/>
    <col min="6680" max="6680" width="13.85546875" style="172" customWidth="1"/>
    <col min="6681" max="6912" width="11.5703125" style="172"/>
    <col min="6913" max="6913" width="6.7109375" style="172" customWidth="1"/>
    <col min="6914" max="6914" width="60.85546875" style="172" customWidth="1"/>
    <col min="6915" max="6915" width="22.85546875" style="172" customWidth="1"/>
    <col min="6916" max="6916" width="15.140625" style="172" customWidth="1"/>
    <col min="6917" max="6923" width="0" style="172" hidden="1" customWidth="1"/>
    <col min="6924" max="6924" width="18.5703125" style="172" customWidth="1"/>
    <col min="6925" max="6928" width="0" style="172" hidden="1" customWidth="1"/>
    <col min="6929" max="6929" width="19.140625" style="172" customWidth="1"/>
    <col min="6930" max="6930" width="17.85546875" style="172" customWidth="1"/>
    <col min="6931" max="6932" width="0" style="172" hidden="1" customWidth="1"/>
    <col min="6933" max="6933" width="11.5703125" style="172"/>
    <col min="6934" max="6935" width="0" style="172" hidden="1" customWidth="1"/>
    <col min="6936" max="6936" width="13.85546875" style="172" customWidth="1"/>
    <col min="6937" max="7168" width="11.5703125" style="172"/>
    <col min="7169" max="7169" width="6.7109375" style="172" customWidth="1"/>
    <col min="7170" max="7170" width="60.85546875" style="172" customWidth="1"/>
    <col min="7171" max="7171" width="22.85546875" style="172" customWidth="1"/>
    <col min="7172" max="7172" width="15.140625" style="172" customWidth="1"/>
    <col min="7173" max="7179" width="0" style="172" hidden="1" customWidth="1"/>
    <col min="7180" max="7180" width="18.5703125" style="172" customWidth="1"/>
    <col min="7181" max="7184" width="0" style="172" hidden="1" customWidth="1"/>
    <col min="7185" max="7185" width="19.140625" style="172" customWidth="1"/>
    <col min="7186" max="7186" width="17.85546875" style="172" customWidth="1"/>
    <col min="7187" max="7188" width="0" style="172" hidden="1" customWidth="1"/>
    <col min="7189" max="7189" width="11.5703125" style="172"/>
    <col min="7190" max="7191" width="0" style="172" hidden="1" customWidth="1"/>
    <col min="7192" max="7192" width="13.85546875" style="172" customWidth="1"/>
    <col min="7193" max="7424" width="11.5703125" style="172"/>
    <col min="7425" max="7425" width="6.7109375" style="172" customWidth="1"/>
    <col min="7426" max="7426" width="60.85546875" style="172" customWidth="1"/>
    <col min="7427" max="7427" width="22.85546875" style="172" customWidth="1"/>
    <col min="7428" max="7428" width="15.140625" style="172" customWidth="1"/>
    <col min="7429" max="7435" width="0" style="172" hidden="1" customWidth="1"/>
    <col min="7436" max="7436" width="18.5703125" style="172" customWidth="1"/>
    <col min="7437" max="7440" width="0" style="172" hidden="1" customWidth="1"/>
    <col min="7441" max="7441" width="19.140625" style="172" customWidth="1"/>
    <col min="7442" max="7442" width="17.85546875" style="172" customWidth="1"/>
    <col min="7443" max="7444" width="0" style="172" hidden="1" customWidth="1"/>
    <col min="7445" max="7445" width="11.5703125" style="172"/>
    <col min="7446" max="7447" width="0" style="172" hidden="1" customWidth="1"/>
    <col min="7448" max="7448" width="13.85546875" style="172" customWidth="1"/>
    <col min="7449" max="7680" width="11.5703125" style="172"/>
    <col min="7681" max="7681" width="6.7109375" style="172" customWidth="1"/>
    <col min="7682" max="7682" width="60.85546875" style="172" customWidth="1"/>
    <col min="7683" max="7683" width="22.85546875" style="172" customWidth="1"/>
    <col min="7684" max="7684" width="15.140625" style="172" customWidth="1"/>
    <col min="7685" max="7691" width="0" style="172" hidden="1" customWidth="1"/>
    <col min="7692" max="7692" width="18.5703125" style="172" customWidth="1"/>
    <col min="7693" max="7696" width="0" style="172" hidden="1" customWidth="1"/>
    <col min="7697" max="7697" width="19.140625" style="172" customWidth="1"/>
    <col min="7698" max="7698" width="17.85546875" style="172" customWidth="1"/>
    <col min="7699" max="7700" width="0" style="172" hidden="1" customWidth="1"/>
    <col min="7701" max="7701" width="11.5703125" style="172"/>
    <col min="7702" max="7703" width="0" style="172" hidden="1" customWidth="1"/>
    <col min="7704" max="7704" width="13.85546875" style="172" customWidth="1"/>
    <col min="7705" max="7936" width="11.5703125" style="172"/>
    <col min="7937" max="7937" width="6.7109375" style="172" customWidth="1"/>
    <col min="7938" max="7938" width="60.85546875" style="172" customWidth="1"/>
    <col min="7939" max="7939" width="22.85546875" style="172" customWidth="1"/>
    <col min="7940" max="7940" width="15.140625" style="172" customWidth="1"/>
    <col min="7941" max="7947" width="0" style="172" hidden="1" customWidth="1"/>
    <col min="7948" max="7948" width="18.5703125" style="172" customWidth="1"/>
    <col min="7949" max="7952" width="0" style="172" hidden="1" customWidth="1"/>
    <col min="7953" max="7953" width="19.140625" style="172" customWidth="1"/>
    <col min="7954" max="7954" width="17.85546875" style="172" customWidth="1"/>
    <col min="7955" max="7956" width="0" style="172" hidden="1" customWidth="1"/>
    <col min="7957" max="7957" width="11.5703125" style="172"/>
    <col min="7958" max="7959" width="0" style="172" hidden="1" customWidth="1"/>
    <col min="7960" max="7960" width="13.85546875" style="172" customWidth="1"/>
    <col min="7961" max="8192" width="11.5703125" style="172"/>
    <col min="8193" max="8193" width="6.7109375" style="172" customWidth="1"/>
    <col min="8194" max="8194" width="60.85546875" style="172" customWidth="1"/>
    <col min="8195" max="8195" width="22.85546875" style="172" customWidth="1"/>
    <col min="8196" max="8196" width="15.140625" style="172" customWidth="1"/>
    <col min="8197" max="8203" width="0" style="172" hidden="1" customWidth="1"/>
    <col min="8204" max="8204" width="18.5703125" style="172" customWidth="1"/>
    <col min="8205" max="8208" width="0" style="172" hidden="1" customWidth="1"/>
    <col min="8209" max="8209" width="19.140625" style="172" customWidth="1"/>
    <col min="8210" max="8210" width="17.85546875" style="172" customWidth="1"/>
    <col min="8211" max="8212" width="0" style="172" hidden="1" customWidth="1"/>
    <col min="8213" max="8213" width="11.5703125" style="172"/>
    <col min="8214" max="8215" width="0" style="172" hidden="1" customWidth="1"/>
    <col min="8216" max="8216" width="13.85546875" style="172" customWidth="1"/>
    <col min="8217" max="8448" width="11.5703125" style="172"/>
    <col min="8449" max="8449" width="6.7109375" style="172" customWidth="1"/>
    <col min="8450" max="8450" width="60.85546875" style="172" customWidth="1"/>
    <col min="8451" max="8451" width="22.85546875" style="172" customWidth="1"/>
    <col min="8452" max="8452" width="15.140625" style="172" customWidth="1"/>
    <col min="8453" max="8459" width="0" style="172" hidden="1" customWidth="1"/>
    <col min="8460" max="8460" width="18.5703125" style="172" customWidth="1"/>
    <col min="8461" max="8464" width="0" style="172" hidden="1" customWidth="1"/>
    <col min="8465" max="8465" width="19.140625" style="172" customWidth="1"/>
    <col min="8466" max="8466" width="17.85546875" style="172" customWidth="1"/>
    <col min="8467" max="8468" width="0" style="172" hidden="1" customWidth="1"/>
    <col min="8469" max="8469" width="11.5703125" style="172"/>
    <col min="8470" max="8471" width="0" style="172" hidden="1" customWidth="1"/>
    <col min="8472" max="8472" width="13.85546875" style="172" customWidth="1"/>
    <col min="8473" max="8704" width="11.5703125" style="172"/>
    <col min="8705" max="8705" width="6.7109375" style="172" customWidth="1"/>
    <col min="8706" max="8706" width="60.85546875" style="172" customWidth="1"/>
    <col min="8707" max="8707" width="22.85546875" style="172" customWidth="1"/>
    <col min="8708" max="8708" width="15.140625" style="172" customWidth="1"/>
    <col min="8709" max="8715" width="0" style="172" hidden="1" customWidth="1"/>
    <col min="8716" max="8716" width="18.5703125" style="172" customWidth="1"/>
    <col min="8717" max="8720" width="0" style="172" hidden="1" customWidth="1"/>
    <col min="8721" max="8721" width="19.140625" style="172" customWidth="1"/>
    <col min="8722" max="8722" width="17.85546875" style="172" customWidth="1"/>
    <col min="8723" max="8724" width="0" style="172" hidden="1" customWidth="1"/>
    <col min="8725" max="8725" width="11.5703125" style="172"/>
    <col min="8726" max="8727" width="0" style="172" hidden="1" customWidth="1"/>
    <col min="8728" max="8728" width="13.85546875" style="172" customWidth="1"/>
    <col min="8729" max="8960" width="11.5703125" style="172"/>
    <col min="8961" max="8961" width="6.7109375" style="172" customWidth="1"/>
    <col min="8962" max="8962" width="60.85546875" style="172" customWidth="1"/>
    <col min="8963" max="8963" width="22.85546875" style="172" customWidth="1"/>
    <col min="8964" max="8964" width="15.140625" style="172" customWidth="1"/>
    <col min="8965" max="8971" width="0" style="172" hidden="1" customWidth="1"/>
    <col min="8972" max="8972" width="18.5703125" style="172" customWidth="1"/>
    <col min="8973" max="8976" width="0" style="172" hidden="1" customWidth="1"/>
    <col min="8977" max="8977" width="19.140625" style="172" customWidth="1"/>
    <col min="8978" max="8978" width="17.85546875" style="172" customWidth="1"/>
    <col min="8979" max="8980" width="0" style="172" hidden="1" customWidth="1"/>
    <col min="8981" max="8981" width="11.5703125" style="172"/>
    <col min="8982" max="8983" width="0" style="172" hidden="1" customWidth="1"/>
    <col min="8984" max="8984" width="13.85546875" style="172" customWidth="1"/>
    <col min="8985" max="9216" width="11.5703125" style="172"/>
    <col min="9217" max="9217" width="6.7109375" style="172" customWidth="1"/>
    <col min="9218" max="9218" width="60.85546875" style="172" customWidth="1"/>
    <col min="9219" max="9219" width="22.85546875" style="172" customWidth="1"/>
    <col min="9220" max="9220" width="15.140625" style="172" customWidth="1"/>
    <col min="9221" max="9227" width="0" style="172" hidden="1" customWidth="1"/>
    <col min="9228" max="9228" width="18.5703125" style="172" customWidth="1"/>
    <col min="9229" max="9232" width="0" style="172" hidden="1" customWidth="1"/>
    <col min="9233" max="9233" width="19.140625" style="172" customWidth="1"/>
    <col min="9234" max="9234" width="17.85546875" style="172" customWidth="1"/>
    <col min="9235" max="9236" width="0" style="172" hidden="1" customWidth="1"/>
    <col min="9237" max="9237" width="11.5703125" style="172"/>
    <col min="9238" max="9239" width="0" style="172" hidden="1" customWidth="1"/>
    <col min="9240" max="9240" width="13.85546875" style="172" customWidth="1"/>
    <col min="9241" max="9472" width="11.5703125" style="172"/>
    <col min="9473" max="9473" width="6.7109375" style="172" customWidth="1"/>
    <col min="9474" max="9474" width="60.85546875" style="172" customWidth="1"/>
    <col min="9475" max="9475" width="22.85546875" style="172" customWidth="1"/>
    <col min="9476" max="9476" width="15.140625" style="172" customWidth="1"/>
    <col min="9477" max="9483" width="0" style="172" hidden="1" customWidth="1"/>
    <col min="9484" max="9484" width="18.5703125" style="172" customWidth="1"/>
    <col min="9485" max="9488" width="0" style="172" hidden="1" customWidth="1"/>
    <col min="9489" max="9489" width="19.140625" style="172" customWidth="1"/>
    <col min="9490" max="9490" width="17.85546875" style="172" customWidth="1"/>
    <col min="9491" max="9492" width="0" style="172" hidden="1" customWidth="1"/>
    <col min="9493" max="9493" width="11.5703125" style="172"/>
    <col min="9494" max="9495" width="0" style="172" hidden="1" customWidth="1"/>
    <col min="9496" max="9496" width="13.85546875" style="172" customWidth="1"/>
    <col min="9497" max="9728" width="11.5703125" style="172"/>
    <col min="9729" max="9729" width="6.7109375" style="172" customWidth="1"/>
    <col min="9730" max="9730" width="60.85546875" style="172" customWidth="1"/>
    <col min="9731" max="9731" width="22.85546875" style="172" customWidth="1"/>
    <col min="9732" max="9732" width="15.140625" style="172" customWidth="1"/>
    <col min="9733" max="9739" width="0" style="172" hidden="1" customWidth="1"/>
    <col min="9740" max="9740" width="18.5703125" style="172" customWidth="1"/>
    <col min="9741" max="9744" width="0" style="172" hidden="1" customWidth="1"/>
    <col min="9745" max="9745" width="19.140625" style="172" customWidth="1"/>
    <col min="9746" max="9746" width="17.85546875" style="172" customWidth="1"/>
    <col min="9747" max="9748" width="0" style="172" hidden="1" customWidth="1"/>
    <col min="9749" max="9749" width="11.5703125" style="172"/>
    <col min="9750" max="9751" width="0" style="172" hidden="1" customWidth="1"/>
    <col min="9752" max="9752" width="13.85546875" style="172" customWidth="1"/>
    <col min="9753" max="9984" width="11.5703125" style="172"/>
    <col min="9985" max="9985" width="6.7109375" style="172" customWidth="1"/>
    <col min="9986" max="9986" width="60.85546875" style="172" customWidth="1"/>
    <col min="9987" max="9987" width="22.85546875" style="172" customWidth="1"/>
    <col min="9988" max="9988" width="15.140625" style="172" customWidth="1"/>
    <col min="9989" max="9995" width="0" style="172" hidden="1" customWidth="1"/>
    <col min="9996" max="9996" width="18.5703125" style="172" customWidth="1"/>
    <col min="9997" max="10000" width="0" style="172" hidden="1" customWidth="1"/>
    <col min="10001" max="10001" width="19.140625" style="172" customWidth="1"/>
    <col min="10002" max="10002" width="17.85546875" style="172" customWidth="1"/>
    <col min="10003" max="10004" width="0" style="172" hidden="1" customWidth="1"/>
    <col min="10005" max="10005" width="11.5703125" style="172"/>
    <col min="10006" max="10007" width="0" style="172" hidden="1" customWidth="1"/>
    <col min="10008" max="10008" width="13.85546875" style="172" customWidth="1"/>
    <col min="10009" max="10240" width="11.5703125" style="172"/>
    <col min="10241" max="10241" width="6.7109375" style="172" customWidth="1"/>
    <col min="10242" max="10242" width="60.85546875" style="172" customWidth="1"/>
    <col min="10243" max="10243" width="22.85546875" style="172" customWidth="1"/>
    <col min="10244" max="10244" width="15.140625" style="172" customWidth="1"/>
    <col min="10245" max="10251" width="0" style="172" hidden="1" customWidth="1"/>
    <col min="10252" max="10252" width="18.5703125" style="172" customWidth="1"/>
    <col min="10253" max="10256" width="0" style="172" hidden="1" customWidth="1"/>
    <col min="10257" max="10257" width="19.140625" style="172" customWidth="1"/>
    <col min="10258" max="10258" width="17.85546875" style="172" customWidth="1"/>
    <col min="10259" max="10260" width="0" style="172" hidden="1" customWidth="1"/>
    <col min="10261" max="10261" width="11.5703125" style="172"/>
    <col min="10262" max="10263" width="0" style="172" hidden="1" customWidth="1"/>
    <col min="10264" max="10264" width="13.85546875" style="172" customWidth="1"/>
    <col min="10265" max="10496" width="11.5703125" style="172"/>
    <col min="10497" max="10497" width="6.7109375" style="172" customWidth="1"/>
    <col min="10498" max="10498" width="60.85546875" style="172" customWidth="1"/>
    <col min="10499" max="10499" width="22.85546875" style="172" customWidth="1"/>
    <col min="10500" max="10500" width="15.140625" style="172" customWidth="1"/>
    <col min="10501" max="10507" width="0" style="172" hidden="1" customWidth="1"/>
    <col min="10508" max="10508" width="18.5703125" style="172" customWidth="1"/>
    <col min="10509" max="10512" width="0" style="172" hidden="1" customWidth="1"/>
    <col min="10513" max="10513" width="19.140625" style="172" customWidth="1"/>
    <col min="10514" max="10514" width="17.85546875" style="172" customWidth="1"/>
    <col min="10515" max="10516" width="0" style="172" hidden="1" customWidth="1"/>
    <col min="10517" max="10517" width="11.5703125" style="172"/>
    <col min="10518" max="10519" width="0" style="172" hidden="1" customWidth="1"/>
    <col min="10520" max="10520" width="13.85546875" style="172" customWidth="1"/>
    <col min="10521" max="10752" width="11.5703125" style="172"/>
    <col min="10753" max="10753" width="6.7109375" style="172" customWidth="1"/>
    <col min="10754" max="10754" width="60.85546875" style="172" customWidth="1"/>
    <col min="10755" max="10755" width="22.85546875" style="172" customWidth="1"/>
    <col min="10756" max="10756" width="15.140625" style="172" customWidth="1"/>
    <col min="10757" max="10763" width="0" style="172" hidden="1" customWidth="1"/>
    <col min="10764" max="10764" width="18.5703125" style="172" customWidth="1"/>
    <col min="10765" max="10768" width="0" style="172" hidden="1" customWidth="1"/>
    <col min="10769" max="10769" width="19.140625" style="172" customWidth="1"/>
    <col min="10770" max="10770" width="17.85546875" style="172" customWidth="1"/>
    <col min="10771" max="10772" width="0" style="172" hidden="1" customWidth="1"/>
    <col min="10773" max="10773" width="11.5703125" style="172"/>
    <col min="10774" max="10775" width="0" style="172" hidden="1" customWidth="1"/>
    <col min="10776" max="10776" width="13.85546875" style="172" customWidth="1"/>
    <col min="10777" max="11008" width="11.5703125" style="172"/>
    <col min="11009" max="11009" width="6.7109375" style="172" customWidth="1"/>
    <col min="11010" max="11010" width="60.85546875" style="172" customWidth="1"/>
    <col min="11011" max="11011" width="22.85546875" style="172" customWidth="1"/>
    <col min="11012" max="11012" width="15.140625" style="172" customWidth="1"/>
    <col min="11013" max="11019" width="0" style="172" hidden="1" customWidth="1"/>
    <col min="11020" max="11020" width="18.5703125" style="172" customWidth="1"/>
    <col min="11021" max="11024" width="0" style="172" hidden="1" customWidth="1"/>
    <col min="11025" max="11025" width="19.140625" style="172" customWidth="1"/>
    <col min="11026" max="11026" width="17.85546875" style="172" customWidth="1"/>
    <col min="11027" max="11028" width="0" style="172" hidden="1" customWidth="1"/>
    <col min="11029" max="11029" width="11.5703125" style="172"/>
    <col min="11030" max="11031" width="0" style="172" hidden="1" customWidth="1"/>
    <col min="11032" max="11032" width="13.85546875" style="172" customWidth="1"/>
    <col min="11033" max="11264" width="11.5703125" style="172"/>
    <col min="11265" max="11265" width="6.7109375" style="172" customWidth="1"/>
    <col min="11266" max="11266" width="60.85546875" style="172" customWidth="1"/>
    <col min="11267" max="11267" width="22.85546875" style="172" customWidth="1"/>
    <col min="11268" max="11268" width="15.140625" style="172" customWidth="1"/>
    <col min="11269" max="11275" width="0" style="172" hidden="1" customWidth="1"/>
    <col min="11276" max="11276" width="18.5703125" style="172" customWidth="1"/>
    <col min="11277" max="11280" width="0" style="172" hidden="1" customWidth="1"/>
    <col min="11281" max="11281" width="19.140625" style="172" customWidth="1"/>
    <col min="11282" max="11282" width="17.85546875" style="172" customWidth="1"/>
    <col min="11283" max="11284" width="0" style="172" hidden="1" customWidth="1"/>
    <col min="11285" max="11285" width="11.5703125" style="172"/>
    <col min="11286" max="11287" width="0" style="172" hidden="1" customWidth="1"/>
    <col min="11288" max="11288" width="13.85546875" style="172" customWidth="1"/>
    <col min="11289" max="11520" width="11.5703125" style="172"/>
    <col min="11521" max="11521" width="6.7109375" style="172" customWidth="1"/>
    <col min="11522" max="11522" width="60.85546875" style="172" customWidth="1"/>
    <col min="11523" max="11523" width="22.85546875" style="172" customWidth="1"/>
    <col min="11524" max="11524" width="15.140625" style="172" customWidth="1"/>
    <col min="11525" max="11531" width="0" style="172" hidden="1" customWidth="1"/>
    <col min="11532" max="11532" width="18.5703125" style="172" customWidth="1"/>
    <col min="11533" max="11536" width="0" style="172" hidden="1" customWidth="1"/>
    <col min="11537" max="11537" width="19.140625" style="172" customWidth="1"/>
    <col min="11538" max="11538" width="17.85546875" style="172" customWidth="1"/>
    <col min="11539" max="11540" width="0" style="172" hidden="1" customWidth="1"/>
    <col min="11541" max="11541" width="11.5703125" style="172"/>
    <col min="11542" max="11543" width="0" style="172" hidden="1" customWidth="1"/>
    <col min="11544" max="11544" width="13.85546875" style="172" customWidth="1"/>
    <col min="11545" max="11776" width="11.5703125" style="172"/>
    <col min="11777" max="11777" width="6.7109375" style="172" customWidth="1"/>
    <col min="11778" max="11778" width="60.85546875" style="172" customWidth="1"/>
    <col min="11779" max="11779" width="22.85546875" style="172" customWidth="1"/>
    <col min="11780" max="11780" width="15.140625" style="172" customWidth="1"/>
    <col min="11781" max="11787" width="0" style="172" hidden="1" customWidth="1"/>
    <col min="11788" max="11788" width="18.5703125" style="172" customWidth="1"/>
    <col min="11789" max="11792" width="0" style="172" hidden="1" customWidth="1"/>
    <col min="11793" max="11793" width="19.140625" style="172" customWidth="1"/>
    <col min="11794" max="11794" width="17.85546875" style="172" customWidth="1"/>
    <col min="11795" max="11796" width="0" style="172" hidden="1" customWidth="1"/>
    <col min="11797" max="11797" width="11.5703125" style="172"/>
    <col min="11798" max="11799" width="0" style="172" hidden="1" customWidth="1"/>
    <col min="11800" max="11800" width="13.85546875" style="172" customWidth="1"/>
    <col min="11801" max="12032" width="11.5703125" style="172"/>
    <col min="12033" max="12033" width="6.7109375" style="172" customWidth="1"/>
    <col min="12034" max="12034" width="60.85546875" style="172" customWidth="1"/>
    <col min="12035" max="12035" width="22.85546875" style="172" customWidth="1"/>
    <col min="12036" max="12036" width="15.140625" style="172" customWidth="1"/>
    <col min="12037" max="12043" width="0" style="172" hidden="1" customWidth="1"/>
    <col min="12044" max="12044" width="18.5703125" style="172" customWidth="1"/>
    <col min="12045" max="12048" width="0" style="172" hidden="1" customWidth="1"/>
    <col min="12049" max="12049" width="19.140625" style="172" customWidth="1"/>
    <col min="12050" max="12050" width="17.85546875" style="172" customWidth="1"/>
    <col min="12051" max="12052" width="0" style="172" hidden="1" customWidth="1"/>
    <col min="12053" max="12053" width="11.5703125" style="172"/>
    <col min="12054" max="12055" width="0" style="172" hidden="1" customWidth="1"/>
    <col min="12056" max="12056" width="13.85546875" style="172" customWidth="1"/>
    <col min="12057" max="12288" width="11.5703125" style="172"/>
    <col min="12289" max="12289" width="6.7109375" style="172" customWidth="1"/>
    <col min="12290" max="12290" width="60.85546875" style="172" customWidth="1"/>
    <col min="12291" max="12291" width="22.85546875" style="172" customWidth="1"/>
    <col min="12292" max="12292" width="15.140625" style="172" customWidth="1"/>
    <col min="12293" max="12299" width="0" style="172" hidden="1" customWidth="1"/>
    <col min="12300" max="12300" width="18.5703125" style="172" customWidth="1"/>
    <col min="12301" max="12304" width="0" style="172" hidden="1" customWidth="1"/>
    <col min="12305" max="12305" width="19.140625" style="172" customWidth="1"/>
    <col min="12306" max="12306" width="17.85546875" style="172" customWidth="1"/>
    <col min="12307" max="12308" width="0" style="172" hidden="1" customWidth="1"/>
    <col min="12309" max="12309" width="11.5703125" style="172"/>
    <col min="12310" max="12311" width="0" style="172" hidden="1" customWidth="1"/>
    <col min="12312" max="12312" width="13.85546875" style="172" customWidth="1"/>
    <col min="12313" max="12544" width="11.5703125" style="172"/>
    <col min="12545" max="12545" width="6.7109375" style="172" customWidth="1"/>
    <col min="12546" max="12546" width="60.85546875" style="172" customWidth="1"/>
    <col min="12547" max="12547" width="22.85546875" style="172" customWidth="1"/>
    <col min="12548" max="12548" width="15.140625" style="172" customWidth="1"/>
    <col min="12549" max="12555" width="0" style="172" hidden="1" customWidth="1"/>
    <col min="12556" max="12556" width="18.5703125" style="172" customWidth="1"/>
    <col min="12557" max="12560" width="0" style="172" hidden="1" customWidth="1"/>
    <col min="12561" max="12561" width="19.140625" style="172" customWidth="1"/>
    <col min="12562" max="12562" width="17.85546875" style="172" customWidth="1"/>
    <col min="12563" max="12564" width="0" style="172" hidden="1" customWidth="1"/>
    <col min="12565" max="12565" width="11.5703125" style="172"/>
    <col min="12566" max="12567" width="0" style="172" hidden="1" customWidth="1"/>
    <col min="12568" max="12568" width="13.85546875" style="172" customWidth="1"/>
    <col min="12569" max="12800" width="11.5703125" style="172"/>
    <col min="12801" max="12801" width="6.7109375" style="172" customWidth="1"/>
    <col min="12802" max="12802" width="60.85546875" style="172" customWidth="1"/>
    <col min="12803" max="12803" width="22.85546875" style="172" customWidth="1"/>
    <col min="12804" max="12804" width="15.140625" style="172" customWidth="1"/>
    <col min="12805" max="12811" width="0" style="172" hidden="1" customWidth="1"/>
    <col min="12812" max="12812" width="18.5703125" style="172" customWidth="1"/>
    <col min="12813" max="12816" width="0" style="172" hidden="1" customWidth="1"/>
    <col min="12817" max="12817" width="19.140625" style="172" customWidth="1"/>
    <col min="12818" max="12818" width="17.85546875" style="172" customWidth="1"/>
    <col min="12819" max="12820" width="0" style="172" hidden="1" customWidth="1"/>
    <col min="12821" max="12821" width="11.5703125" style="172"/>
    <col min="12822" max="12823" width="0" style="172" hidden="1" customWidth="1"/>
    <col min="12824" max="12824" width="13.85546875" style="172" customWidth="1"/>
    <col min="12825" max="13056" width="11.5703125" style="172"/>
    <col min="13057" max="13057" width="6.7109375" style="172" customWidth="1"/>
    <col min="13058" max="13058" width="60.85546875" style="172" customWidth="1"/>
    <col min="13059" max="13059" width="22.85546875" style="172" customWidth="1"/>
    <col min="13060" max="13060" width="15.140625" style="172" customWidth="1"/>
    <col min="13061" max="13067" width="0" style="172" hidden="1" customWidth="1"/>
    <col min="13068" max="13068" width="18.5703125" style="172" customWidth="1"/>
    <col min="13069" max="13072" width="0" style="172" hidden="1" customWidth="1"/>
    <col min="13073" max="13073" width="19.140625" style="172" customWidth="1"/>
    <col min="13074" max="13074" width="17.85546875" style="172" customWidth="1"/>
    <col min="13075" max="13076" width="0" style="172" hidden="1" customWidth="1"/>
    <col min="13077" max="13077" width="11.5703125" style="172"/>
    <col min="13078" max="13079" width="0" style="172" hidden="1" customWidth="1"/>
    <col min="13080" max="13080" width="13.85546875" style="172" customWidth="1"/>
    <col min="13081" max="13312" width="11.5703125" style="172"/>
    <col min="13313" max="13313" width="6.7109375" style="172" customWidth="1"/>
    <col min="13314" max="13314" width="60.85546875" style="172" customWidth="1"/>
    <col min="13315" max="13315" width="22.85546875" style="172" customWidth="1"/>
    <col min="13316" max="13316" width="15.140625" style="172" customWidth="1"/>
    <col min="13317" max="13323" width="0" style="172" hidden="1" customWidth="1"/>
    <col min="13324" max="13324" width="18.5703125" style="172" customWidth="1"/>
    <col min="13325" max="13328" width="0" style="172" hidden="1" customWidth="1"/>
    <col min="13329" max="13329" width="19.140625" style="172" customWidth="1"/>
    <col min="13330" max="13330" width="17.85546875" style="172" customWidth="1"/>
    <col min="13331" max="13332" width="0" style="172" hidden="1" customWidth="1"/>
    <col min="13333" max="13333" width="11.5703125" style="172"/>
    <col min="13334" max="13335" width="0" style="172" hidden="1" customWidth="1"/>
    <col min="13336" max="13336" width="13.85546875" style="172" customWidth="1"/>
    <col min="13337" max="13568" width="11.5703125" style="172"/>
    <col min="13569" max="13569" width="6.7109375" style="172" customWidth="1"/>
    <col min="13570" max="13570" width="60.85546875" style="172" customWidth="1"/>
    <col min="13571" max="13571" width="22.85546875" style="172" customWidth="1"/>
    <col min="13572" max="13572" width="15.140625" style="172" customWidth="1"/>
    <col min="13573" max="13579" width="0" style="172" hidden="1" customWidth="1"/>
    <col min="13580" max="13580" width="18.5703125" style="172" customWidth="1"/>
    <col min="13581" max="13584" width="0" style="172" hidden="1" customWidth="1"/>
    <col min="13585" max="13585" width="19.140625" style="172" customWidth="1"/>
    <col min="13586" max="13586" width="17.85546875" style="172" customWidth="1"/>
    <col min="13587" max="13588" width="0" style="172" hidden="1" customWidth="1"/>
    <col min="13589" max="13589" width="11.5703125" style="172"/>
    <col min="13590" max="13591" width="0" style="172" hidden="1" customWidth="1"/>
    <col min="13592" max="13592" width="13.85546875" style="172" customWidth="1"/>
    <col min="13593" max="13824" width="11.5703125" style="172"/>
    <col min="13825" max="13825" width="6.7109375" style="172" customWidth="1"/>
    <col min="13826" max="13826" width="60.85546875" style="172" customWidth="1"/>
    <col min="13827" max="13827" width="22.85546875" style="172" customWidth="1"/>
    <col min="13828" max="13828" width="15.140625" style="172" customWidth="1"/>
    <col min="13829" max="13835" width="0" style="172" hidden="1" customWidth="1"/>
    <col min="13836" max="13836" width="18.5703125" style="172" customWidth="1"/>
    <col min="13837" max="13840" width="0" style="172" hidden="1" customWidth="1"/>
    <col min="13841" max="13841" width="19.140625" style="172" customWidth="1"/>
    <col min="13842" max="13842" width="17.85546875" style="172" customWidth="1"/>
    <col min="13843" max="13844" width="0" style="172" hidden="1" customWidth="1"/>
    <col min="13845" max="13845" width="11.5703125" style="172"/>
    <col min="13846" max="13847" width="0" style="172" hidden="1" customWidth="1"/>
    <col min="13848" max="13848" width="13.85546875" style="172" customWidth="1"/>
    <col min="13849" max="14080" width="11.5703125" style="172"/>
    <col min="14081" max="14081" width="6.7109375" style="172" customWidth="1"/>
    <col min="14082" max="14082" width="60.85546875" style="172" customWidth="1"/>
    <col min="14083" max="14083" width="22.85546875" style="172" customWidth="1"/>
    <col min="14084" max="14084" width="15.140625" style="172" customWidth="1"/>
    <col min="14085" max="14091" width="0" style="172" hidden="1" customWidth="1"/>
    <col min="14092" max="14092" width="18.5703125" style="172" customWidth="1"/>
    <col min="14093" max="14096" width="0" style="172" hidden="1" customWidth="1"/>
    <col min="14097" max="14097" width="19.140625" style="172" customWidth="1"/>
    <col min="14098" max="14098" width="17.85546875" style="172" customWidth="1"/>
    <col min="14099" max="14100" width="0" style="172" hidden="1" customWidth="1"/>
    <col min="14101" max="14101" width="11.5703125" style="172"/>
    <col min="14102" max="14103" width="0" style="172" hidden="1" customWidth="1"/>
    <col min="14104" max="14104" width="13.85546875" style="172" customWidth="1"/>
    <col min="14105" max="14336" width="11.5703125" style="172"/>
    <col min="14337" max="14337" width="6.7109375" style="172" customWidth="1"/>
    <col min="14338" max="14338" width="60.85546875" style="172" customWidth="1"/>
    <col min="14339" max="14339" width="22.85546875" style="172" customWidth="1"/>
    <col min="14340" max="14340" width="15.140625" style="172" customWidth="1"/>
    <col min="14341" max="14347" width="0" style="172" hidden="1" customWidth="1"/>
    <col min="14348" max="14348" width="18.5703125" style="172" customWidth="1"/>
    <col min="14349" max="14352" width="0" style="172" hidden="1" customWidth="1"/>
    <col min="14353" max="14353" width="19.140625" style="172" customWidth="1"/>
    <col min="14354" max="14354" width="17.85546875" style="172" customWidth="1"/>
    <col min="14355" max="14356" width="0" style="172" hidden="1" customWidth="1"/>
    <col min="14357" max="14357" width="11.5703125" style="172"/>
    <col min="14358" max="14359" width="0" style="172" hidden="1" customWidth="1"/>
    <col min="14360" max="14360" width="13.85546875" style="172" customWidth="1"/>
    <col min="14361" max="14592" width="11.5703125" style="172"/>
    <col min="14593" max="14593" width="6.7109375" style="172" customWidth="1"/>
    <col min="14594" max="14594" width="60.85546875" style="172" customWidth="1"/>
    <col min="14595" max="14595" width="22.85546875" style="172" customWidth="1"/>
    <col min="14596" max="14596" width="15.140625" style="172" customWidth="1"/>
    <col min="14597" max="14603" width="0" style="172" hidden="1" customWidth="1"/>
    <col min="14604" max="14604" width="18.5703125" style="172" customWidth="1"/>
    <col min="14605" max="14608" width="0" style="172" hidden="1" customWidth="1"/>
    <col min="14609" max="14609" width="19.140625" style="172" customWidth="1"/>
    <col min="14610" max="14610" width="17.85546875" style="172" customWidth="1"/>
    <col min="14611" max="14612" width="0" style="172" hidden="1" customWidth="1"/>
    <col min="14613" max="14613" width="11.5703125" style="172"/>
    <col min="14614" max="14615" width="0" style="172" hidden="1" customWidth="1"/>
    <col min="14616" max="14616" width="13.85546875" style="172" customWidth="1"/>
    <col min="14617" max="14848" width="11.5703125" style="172"/>
    <col min="14849" max="14849" width="6.7109375" style="172" customWidth="1"/>
    <col min="14850" max="14850" width="60.85546875" style="172" customWidth="1"/>
    <col min="14851" max="14851" width="22.85546875" style="172" customWidth="1"/>
    <col min="14852" max="14852" width="15.140625" style="172" customWidth="1"/>
    <col min="14853" max="14859" width="0" style="172" hidden="1" customWidth="1"/>
    <col min="14860" max="14860" width="18.5703125" style="172" customWidth="1"/>
    <col min="14861" max="14864" width="0" style="172" hidden="1" customWidth="1"/>
    <col min="14865" max="14865" width="19.140625" style="172" customWidth="1"/>
    <col min="14866" max="14866" width="17.85546875" style="172" customWidth="1"/>
    <col min="14867" max="14868" width="0" style="172" hidden="1" customWidth="1"/>
    <col min="14869" max="14869" width="11.5703125" style="172"/>
    <col min="14870" max="14871" width="0" style="172" hidden="1" customWidth="1"/>
    <col min="14872" max="14872" width="13.85546875" style="172" customWidth="1"/>
    <col min="14873" max="15104" width="11.5703125" style="172"/>
    <col min="15105" max="15105" width="6.7109375" style="172" customWidth="1"/>
    <col min="15106" max="15106" width="60.85546875" style="172" customWidth="1"/>
    <col min="15107" max="15107" width="22.85546875" style="172" customWidth="1"/>
    <col min="15108" max="15108" width="15.140625" style="172" customWidth="1"/>
    <col min="15109" max="15115" width="0" style="172" hidden="1" customWidth="1"/>
    <col min="15116" max="15116" width="18.5703125" style="172" customWidth="1"/>
    <col min="15117" max="15120" width="0" style="172" hidden="1" customWidth="1"/>
    <col min="15121" max="15121" width="19.140625" style="172" customWidth="1"/>
    <col min="15122" max="15122" width="17.85546875" style="172" customWidth="1"/>
    <col min="15123" max="15124" width="0" style="172" hidden="1" customWidth="1"/>
    <col min="15125" max="15125" width="11.5703125" style="172"/>
    <col min="15126" max="15127" width="0" style="172" hidden="1" customWidth="1"/>
    <col min="15128" max="15128" width="13.85546875" style="172" customWidth="1"/>
    <col min="15129" max="15360" width="11.5703125" style="172"/>
    <col min="15361" max="15361" width="6.7109375" style="172" customWidth="1"/>
    <col min="15362" max="15362" width="60.85546875" style="172" customWidth="1"/>
    <col min="15363" max="15363" width="22.85546875" style="172" customWidth="1"/>
    <col min="15364" max="15364" width="15.140625" style="172" customWidth="1"/>
    <col min="15365" max="15371" width="0" style="172" hidden="1" customWidth="1"/>
    <col min="15372" max="15372" width="18.5703125" style="172" customWidth="1"/>
    <col min="15373" max="15376" width="0" style="172" hidden="1" customWidth="1"/>
    <col min="15377" max="15377" width="19.140625" style="172" customWidth="1"/>
    <col min="15378" max="15378" width="17.85546875" style="172" customWidth="1"/>
    <col min="15379" max="15380" width="0" style="172" hidden="1" customWidth="1"/>
    <col min="15381" max="15381" width="11.5703125" style="172"/>
    <col min="15382" max="15383" width="0" style="172" hidden="1" customWidth="1"/>
    <col min="15384" max="15384" width="13.85546875" style="172" customWidth="1"/>
    <col min="15385" max="15616" width="11.5703125" style="172"/>
    <col min="15617" max="15617" width="6.7109375" style="172" customWidth="1"/>
    <col min="15618" max="15618" width="60.85546875" style="172" customWidth="1"/>
    <col min="15619" max="15619" width="22.85546875" style="172" customWidth="1"/>
    <col min="15620" max="15620" width="15.140625" style="172" customWidth="1"/>
    <col min="15621" max="15627" width="0" style="172" hidden="1" customWidth="1"/>
    <col min="15628" max="15628" width="18.5703125" style="172" customWidth="1"/>
    <col min="15629" max="15632" width="0" style="172" hidden="1" customWidth="1"/>
    <col min="15633" max="15633" width="19.140625" style="172" customWidth="1"/>
    <col min="15634" max="15634" width="17.85546875" style="172" customWidth="1"/>
    <col min="15635" max="15636" width="0" style="172" hidden="1" customWidth="1"/>
    <col min="15637" max="15637" width="11.5703125" style="172"/>
    <col min="15638" max="15639" width="0" style="172" hidden="1" customWidth="1"/>
    <col min="15640" max="15640" width="13.85546875" style="172" customWidth="1"/>
    <col min="15641" max="15872" width="11.5703125" style="172"/>
    <col min="15873" max="15873" width="6.7109375" style="172" customWidth="1"/>
    <col min="15874" max="15874" width="60.85546875" style="172" customWidth="1"/>
    <col min="15875" max="15875" width="22.85546875" style="172" customWidth="1"/>
    <col min="15876" max="15876" width="15.140625" style="172" customWidth="1"/>
    <col min="15877" max="15883" width="0" style="172" hidden="1" customWidth="1"/>
    <col min="15884" max="15884" width="18.5703125" style="172" customWidth="1"/>
    <col min="15885" max="15888" width="0" style="172" hidden="1" customWidth="1"/>
    <col min="15889" max="15889" width="19.140625" style="172" customWidth="1"/>
    <col min="15890" max="15890" width="17.85546875" style="172" customWidth="1"/>
    <col min="15891" max="15892" width="0" style="172" hidden="1" customWidth="1"/>
    <col min="15893" max="15893" width="11.5703125" style="172"/>
    <col min="15894" max="15895" width="0" style="172" hidden="1" customWidth="1"/>
    <col min="15896" max="15896" width="13.85546875" style="172" customWidth="1"/>
    <col min="15897" max="16128" width="11.5703125" style="172"/>
    <col min="16129" max="16129" width="6.7109375" style="172" customWidth="1"/>
    <col min="16130" max="16130" width="60.85546875" style="172" customWidth="1"/>
    <col min="16131" max="16131" width="22.85546875" style="172" customWidth="1"/>
    <col min="16132" max="16132" width="15.140625" style="172" customWidth="1"/>
    <col min="16133" max="16139" width="0" style="172" hidden="1" customWidth="1"/>
    <col min="16140" max="16140" width="18.5703125" style="172" customWidth="1"/>
    <col min="16141" max="16144" width="0" style="172" hidden="1" customWidth="1"/>
    <col min="16145" max="16145" width="19.140625" style="172" customWidth="1"/>
    <col min="16146" max="16146" width="17.85546875" style="172" customWidth="1"/>
    <col min="16147" max="16148" width="0" style="172" hidden="1" customWidth="1"/>
    <col min="16149" max="16149" width="11.5703125" style="172"/>
    <col min="16150" max="16151" width="0" style="172" hidden="1" customWidth="1"/>
    <col min="16152" max="16152" width="13.85546875" style="172" customWidth="1"/>
    <col min="16153" max="16384" width="11.5703125" style="172"/>
  </cols>
  <sheetData>
    <row r="1" spans="1:26">
      <c r="A1" s="183"/>
      <c r="Q1" s="292" t="s">
        <v>301</v>
      </c>
      <c r="R1" s="292"/>
    </row>
    <row r="2" spans="1:26" ht="54" customHeight="1">
      <c r="A2" s="312" t="s">
        <v>389</v>
      </c>
      <c r="B2" s="313"/>
      <c r="C2" s="313"/>
      <c r="D2" s="313"/>
      <c r="E2" s="313"/>
      <c r="F2" s="313"/>
      <c r="G2" s="313"/>
      <c r="H2" s="313"/>
      <c r="I2" s="313"/>
      <c r="J2" s="313"/>
      <c r="K2" s="313"/>
      <c r="L2" s="313"/>
      <c r="M2" s="313"/>
      <c r="N2" s="313"/>
      <c r="O2" s="313"/>
      <c r="P2" s="313"/>
      <c r="Q2" s="313"/>
      <c r="R2" s="313"/>
      <c r="S2" s="313"/>
      <c r="T2" s="184"/>
    </row>
    <row r="3" spans="1:26">
      <c r="A3" s="314" t="str">
        <f>'Biểu 1'!A3:C3</f>
        <v>(Kèm theo Quyết định số 2128 /QĐ-UBND ngày 20 tháng 12 năm 2022 của UBND huyện Tuần Giáo)</v>
      </c>
      <c r="B3" s="314"/>
      <c r="C3" s="314"/>
      <c r="D3" s="314"/>
      <c r="E3" s="314"/>
      <c r="F3" s="314"/>
      <c r="G3" s="314"/>
      <c r="H3" s="314"/>
      <c r="I3" s="314"/>
      <c r="J3" s="314"/>
      <c r="K3" s="314"/>
      <c r="L3" s="314"/>
      <c r="M3" s="314"/>
      <c r="N3" s="314"/>
      <c r="O3" s="314"/>
      <c r="P3" s="314"/>
      <c r="Q3" s="314"/>
      <c r="R3" s="314"/>
      <c r="S3" s="218"/>
      <c r="T3" s="184"/>
    </row>
    <row r="4" spans="1:26" ht="22.5" customHeight="1">
      <c r="A4" s="185"/>
      <c r="B4" s="186"/>
      <c r="C4" s="186"/>
      <c r="D4" s="186"/>
      <c r="E4" s="186"/>
      <c r="F4" s="186"/>
      <c r="G4" s="315" t="s">
        <v>390</v>
      </c>
      <c r="H4" s="315"/>
      <c r="I4" s="315"/>
      <c r="J4" s="315"/>
      <c r="K4" s="315"/>
      <c r="L4" s="315"/>
      <c r="M4" s="315"/>
      <c r="N4" s="315"/>
      <c r="O4" s="315"/>
      <c r="P4" s="315"/>
      <c r="Q4" s="315"/>
      <c r="R4" s="315"/>
      <c r="S4" s="315"/>
      <c r="T4" s="187"/>
    </row>
    <row r="5" spans="1:26" ht="47.25" customHeight="1">
      <c r="A5" s="304" t="s">
        <v>391</v>
      </c>
      <c r="B5" s="304" t="s">
        <v>305</v>
      </c>
      <c r="C5" s="304" t="s">
        <v>392</v>
      </c>
      <c r="D5" s="304" t="s">
        <v>438</v>
      </c>
      <c r="E5" s="316" t="s">
        <v>393</v>
      </c>
      <c r="F5" s="316"/>
      <c r="G5" s="317" t="s">
        <v>394</v>
      </c>
      <c r="H5" s="306" t="s">
        <v>437</v>
      </c>
      <c r="I5" s="307"/>
      <c r="J5" s="307"/>
      <c r="K5" s="307"/>
      <c r="L5" s="308"/>
      <c r="M5" s="306" t="s">
        <v>453</v>
      </c>
      <c r="N5" s="307"/>
      <c r="O5" s="307"/>
      <c r="P5" s="307"/>
      <c r="Q5" s="308"/>
      <c r="R5" s="302" t="s">
        <v>439</v>
      </c>
      <c r="S5" s="304" t="s">
        <v>310</v>
      </c>
      <c r="T5" s="188"/>
    </row>
    <row r="6" spans="1:26" ht="47.25" customHeight="1">
      <c r="A6" s="305"/>
      <c r="B6" s="305"/>
      <c r="C6" s="305"/>
      <c r="D6" s="305"/>
      <c r="E6" s="219" t="s">
        <v>395</v>
      </c>
      <c r="F6" s="219" t="s">
        <v>396</v>
      </c>
      <c r="G6" s="318"/>
      <c r="H6" s="309"/>
      <c r="I6" s="310"/>
      <c r="J6" s="310"/>
      <c r="K6" s="310"/>
      <c r="L6" s="311"/>
      <c r="M6" s="309"/>
      <c r="N6" s="310"/>
      <c r="O6" s="310"/>
      <c r="P6" s="310"/>
      <c r="Q6" s="311"/>
      <c r="R6" s="303"/>
      <c r="S6" s="305"/>
      <c r="T6" s="188"/>
    </row>
    <row r="7" spans="1:26" ht="22.5" customHeight="1">
      <c r="A7" s="220"/>
      <c r="B7" s="220" t="s">
        <v>397</v>
      </c>
      <c r="C7" s="220"/>
      <c r="D7" s="221">
        <f t="shared" ref="D7:R7" si="0">D8+D19</f>
        <v>48300</v>
      </c>
      <c r="E7" s="221">
        <f t="shared" si="0"/>
        <v>0</v>
      </c>
      <c r="F7" s="221">
        <f t="shared" si="0"/>
        <v>0</v>
      </c>
      <c r="G7" s="221">
        <f t="shared" si="0"/>
        <v>0</v>
      </c>
      <c r="H7" s="221">
        <f t="shared" si="0"/>
        <v>0</v>
      </c>
      <c r="I7" s="221">
        <f t="shared" si="0"/>
        <v>0</v>
      </c>
      <c r="J7" s="221">
        <f t="shared" si="0"/>
        <v>0</v>
      </c>
      <c r="K7" s="221">
        <f t="shared" si="0"/>
        <v>0</v>
      </c>
      <c r="L7" s="221">
        <f t="shared" si="0"/>
        <v>22954</v>
      </c>
      <c r="M7" s="221">
        <f t="shared" si="0"/>
        <v>0</v>
      </c>
      <c r="N7" s="221">
        <f t="shared" si="0"/>
        <v>0</v>
      </c>
      <c r="O7" s="221">
        <f t="shared" si="0"/>
        <v>0</v>
      </c>
      <c r="P7" s="221">
        <f t="shared" si="0"/>
        <v>0</v>
      </c>
      <c r="Q7" s="221">
        <f t="shared" si="0"/>
        <v>14600</v>
      </c>
      <c r="R7" s="221">
        <f t="shared" si="0"/>
        <v>20924</v>
      </c>
      <c r="S7" s="189"/>
      <c r="T7" s="188"/>
    </row>
    <row r="8" spans="1:26" s="180" customFormat="1" ht="22.5" customHeight="1">
      <c r="A8" s="220" t="s">
        <v>3</v>
      </c>
      <c r="B8" s="222" t="s">
        <v>398</v>
      </c>
      <c r="C8" s="220"/>
      <c r="D8" s="221">
        <f>SUM(D9:D18)</f>
        <v>23300</v>
      </c>
      <c r="E8" s="221">
        <f t="shared" ref="E8:Q8" si="1">SUM(E9:E18)</f>
        <v>0</v>
      </c>
      <c r="F8" s="221">
        <f t="shared" si="1"/>
        <v>0</v>
      </c>
      <c r="G8" s="221">
        <f t="shared" si="1"/>
        <v>0</v>
      </c>
      <c r="H8" s="221">
        <f t="shared" si="1"/>
        <v>0</v>
      </c>
      <c r="I8" s="221">
        <f t="shared" si="1"/>
        <v>0</v>
      </c>
      <c r="J8" s="221">
        <f t="shared" si="1"/>
        <v>0</v>
      </c>
      <c r="K8" s="221">
        <f t="shared" si="1"/>
        <v>0</v>
      </c>
      <c r="L8" s="221">
        <f t="shared" si="1"/>
        <v>22954</v>
      </c>
      <c r="M8" s="221">
        <f t="shared" si="1"/>
        <v>0</v>
      </c>
      <c r="N8" s="221">
        <f t="shared" si="1"/>
        <v>0</v>
      </c>
      <c r="O8" s="221">
        <f t="shared" si="1"/>
        <v>0</v>
      </c>
      <c r="P8" s="221">
        <f t="shared" si="1"/>
        <v>0</v>
      </c>
      <c r="Q8" s="221">
        <f t="shared" si="1"/>
        <v>14600</v>
      </c>
      <c r="R8" s="221">
        <f>SUM(R9:R18)</f>
        <v>8354</v>
      </c>
      <c r="S8" s="190"/>
      <c r="T8" s="191"/>
      <c r="X8" s="172"/>
    </row>
    <row r="9" spans="1:26" ht="22.5" customHeight="1">
      <c r="A9" s="223">
        <v>1</v>
      </c>
      <c r="B9" s="224" t="s">
        <v>399</v>
      </c>
      <c r="C9" s="225" t="s">
        <v>153</v>
      </c>
      <c r="D9" s="226">
        <v>2500</v>
      </c>
      <c r="E9" s="227"/>
      <c r="F9" s="228"/>
      <c r="G9" s="228"/>
      <c r="H9" s="228"/>
      <c r="I9" s="228"/>
      <c r="J9" s="228"/>
      <c r="K9" s="228"/>
      <c r="L9" s="229">
        <v>2493</v>
      </c>
      <c r="M9" s="229"/>
      <c r="N9" s="229"/>
      <c r="O9" s="229"/>
      <c r="P9" s="229"/>
      <c r="Q9" s="229">
        <f>1200+500</f>
        <v>1700</v>
      </c>
      <c r="R9" s="229">
        <f>L9-Q9</f>
        <v>793</v>
      </c>
      <c r="S9" s="193"/>
      <c r="Y9" s="194"/>
      <c r="Z9" s="171"/>
    </row>
    <row r="10" spans="1:26" ht="22.5" customHeight="1">
      <c r="A10" s="223">
        <v>2</v>
      </c>
      <c r="B10" s="224" t="s">
        <v>400</v>
      </c>
      <c r="C10" s="225" t="s">
        <v>148</v>
      </c>
      <c r="D10" s="226">
        <v>2000</v>
      </c>
      <c r="E10" s="227"/>
      <c r="F10" s="228"/>
      <c r="G10" s="228"/>
      <c r="H10" s="228"/>
      <c r="I10" s="228"/>
      <c r="J10" s="228"/>
      <c r="K10" s="228"/>
      <c r="L10" s="229">
        <v>1905</v>
      </c>
      <c r="M10" s="229"/>
      <c r="N10" s="229"/>
      <c r="O10" s="229"/>
      <c r="P10" s="229"/>
      <c r="Q10" s="229">
        <v>1000</v>
      </c>
      <c r="R10" s="229">
        <f t="shared" ref="R10:R18" si="2">L10-Q10</f>
        <v>905</v>
      </c>
      <c r="S10" s="193"/>
    </row>
    <row r="11" spans="1:26" ht="22.5" customHeight="1">
      <c r="A11" s="223">
        <v>3</v>
      </c>
      <c r="B11" s="224" t="s">
        <v>401</v>
      </c>
      <c r="C11" s="166" t="s">
        <v>154</v>
      </c>
      <c r="D11" s="230">
        <v>2000</v>
      </c>
      <c r="E11" s="227"/>
      <c r="F11" s="228"/>
      <c r="G11" s="228"/>
      <c r="H11" s="228"/>
      <c r="I11" s="228"/>
      <c r="J11" s="228"/>
      <c r="K11" s="228"/>
      <c r="L11" s="229">
        <v>1873</v>
      </c>
      <c r="M11" s="229"/>
      <c r="N11" s="229"/>
      <c r="O11" s="229"/>
      <c r="P11" s="229"/>
      <c r="Q11" s="229">
        <f>1000+500</f>
        <v>1500</v>
      </c>
      <c r="R11" s="229">
        <f t="shared" si="2"/>
        <v>373</v>
      </c>
      <c r="S11" s="193"/>
    </row>
    <row r="12" spans="1:26" ht="22.5" customHeight="1">
      <c r="A12" s="223">
        <v>4</v>
      </c>
      <c r="B12" s="224" t="s">
        <v>402</v>
      </c>
      <c r="C12" s="166" t="s">
        <v>330</v>
      </c>
      <c r="D12" s="230">
        <v>2500</v>
      </c>
      <c r="E12" s="227"/>
      <c r="F12" s="228"/>
      <c r="G12" s="228"/>
      <c r="H12" s="228"/>
      <c r="I12" s="228"/>
      <c r="J12" s="228"/>
      <c r="K12" s="228"/>
      <c r="L12" s="229">
        <v>2493</v>
      </c>
      <c r="M12" s="229"/>
      <c r="N12" s="229"/>
      <c r="O12" s="229"/>
      <c r="P12" s="229"/>
      <c r="Q12" s="229">
        <v>1300</v>
      </c>
      <c r="R12" s="229">
        <f t="shared" si="2"/>
        <v>1193</v>
      </c>
      <c r="S12" s="193"/>
    </row>
    <row r="13" spans="1:26" ht="22.5" customHeight="1">
      <c r="A13" s="223">
        <v>5</v>
      </c>
      <c r="B13" s="224" t="s">
        <v>403</v>
      </c>
      <c r="C13" s="166" t="s">
        <v>404</v>
      </c>
      <c r="D13" s="230">
        <v>2300</v>
      </c>
      <c r="E13" s="227"/>
      <c r="F13" s="228"/>
      <c r="G13" s="228"/>
      <c r="H13" s="228"/>
      <c r="I13" s="228"/>
      <c r="J13" s="228"/>
      <c r="K13" s="228"/>
      <c r="L13" s="229">
        <v>2292</v>
      </c>
      <c r="M13" s="229"/>
      <c r="N13" s="229"/>
      <c r="O13" s="229"/>
      <c r="P13" s="229"/>
      <c r="Q13" s="229">
        <v>1100</v>
      </c>
      <c r="R13" s="229">
        <f t="shared" si="2"/>
        <v>1192</v>
      </c>
      <c r="S13" s="193"/>
    </row>
    <row r="14" spans="1:26" ht="22.5" customHeight="1">
      <c r="A14" s="223">
        <v>6</v>
      </c>
      <c r="B14" s="224" t="s">
        <v>405</v>
      </c>
      <c r="C14" s="166" t="s">
        <v>406</v>
      </c>
      <c r="D14" s="230">
        <v>3500</v>
      </c>
      <c r="E14" s="227"/>
      <c r="F14" s="228"/>
      <c r="G14" s="228"/>
      <c r="H14" s="228"/>
      <c r="I14" s="228"/>
      <c r="J14" s="228"/>
      <c r="K14" s="228"/>
      <c r="L14" s="229">
        <v>3481</v>
      </c>
      <c r="M14" s="229"/>
      <c r="N14" s="229"/>
      <c r="O14" s="229"/>
      <c r="P14" s="229"/>
      <c r="Q14" s="229">
        <v>1800</v>
      </c>
      <c r="R14" s="229">
        <f t="shared" si="2"/>
        <v>1681</v>
      </c>
      <c r="S14" s="193"/>
    </row>
    <row r="15" spans="1:26" ht="22.5" customHeight="1">
      <c r="A15" s="223">
        <v>7</v>
      </c>
      <c r="B15" s="224" t="s">
        <v>407</v>
      </c>
      <c r="C15" s="166" t="s">
        <v>408</v>
      </c>
      <c r="D15" s="230">
        <v>1900</v>
      </c>
      <c r="E15" s="227"/>
      <c r="F15" s="228"/>
      <c r="G15" s="228"/>
      <c r="H15" s="228"/>
      <c r="I15" s="228"/>
      <c r="J15" s="228"/>
      <c r="K15" s="228"/>
      <c r="L15" s="229">
        <v>1895</v>
      </c>
      <c r="M15" s="229"/>
      <c r="N15" s="229"/>
      <c r="O15" s="229"/>
      <c r="P15" s="229"/>
      <c r="Q15" s="229">
        <f>1000+500</f>
        <v>1500</v>
      </c>
      <c r="R15" s="229">
        <f t="shared" si="2"/>
        <v>395</v>
      </c>
      <c r="S15" s="193"/>
      <c r="X15" s="195"/>
    </row>
    <row r="16" spans="1:26" ht="22.5" customHeight="1">
      <c r="A16" s="223">
        <v>8</v>
      </c>
      <c r="B16" s="224" t="s">
        <v>409</v>
      </c>
      <c r="C16" s="166" t="s">
        <v>406</v>
      </c>
      <c r="D16" s="230">
        <v>2500</v>
      </c>
      <c r="E16" s="227"/>
      <c r="F16" s="228"/>
      <c r="G16" s="228"/>
      <c r="H16" s="228"/>
      <c r="I16" s="228"/>
      <c r="J16" s="228"/>
      <c r="K16" s="228"/>
      <c r="L16" s="229">
        <v>2478</v>
      </c>
      <c r="M16" s="229"/>
      <c r="N16" s="229"/>
      <c r="O16" s="229"/>
      <c r="P16" s="229"/>
      <c r="Q16" s="229">
        <f>1200+500</f>
        <v>1700</v>
      </c>
      <c r="R16" s="229">
        <f t="shared" si="2"/>
        <v>778</v>
      </c>
      <c r="S16" s="193"/>
      <c r="X16" s="195"/>
    </row>
    <row r="17" spans="1:26" ht="22.5" customHeight="1">
      <c r="A17" s="223">
        <v>9</v>
      </c>
      <c r="B17" s="224" t="s">
        <v>410</v>
      </c>
      <c r="C17" s="166" t="s">
        <v>411</v>
      </c>
      <c r="D17" s="230">
        <v>1500</v>
      </c>
      <c r="E17" s="227"/>
      <c r="F17" s="228"/>
      <c r="G17" s="228"/>
      <c r="H17" s="228"/>
      <c r="I17" s="228"/>
      <c r="J17" s="228"/>
      <c r="K17" s="228"/>
      <c r="L17" s="229">
        <v>1489</v>
      </c>
      <c r="M17" s="229"/>
      <c r="N17" s="229"/>
      <c r="O17" s="229"/>
      <c r="P17" s="229"/>
      <c r="Q17" s="229">
        <v>1000</v>
      </c>
      <c r="R17" s="229">
        <f t="shared" si="2"/>
        <v>489</v>
      </c>
      <c r="S17" s="193"/>
      <c r="X17" s="196"/>
    </row>
    <row r="18" spans="1:26" ht="22.5" customHeight="1">
      <c r="A18" s="223">
        <v>10</v>
      </c>
      <c r="B18" s="224" t="s">
        <v>412</v>
      </c>
      <c r="C18" s="166" t="s">
        <v>330</v>
      </c>
      <c r="D18" s="230">
        <v>2600</v>
      </c>
      <c r="E18" s="227"/>
      <c r="F18" s="228"/>
      <c r="G18" s="228"/>
      <c r="H18" s="228"/>
      <c r="I18" s="228"/>
      <c r="J18" s="228"/>
      <c r="K18" s="228"/>
      <c r="L18" s="229">
        <v>2555</v>
      </c>
      <c r="M18" s="229"/>
      <c r="N18" s="229"/>
      <c r="O18" s="229"/>
      <c r="P18" s="229"/>
      <c r="Q18" s="229">
        <f>1000+1000</f>
        <v>2000</v>
      </c>
      <c r="R18" s="229">
        <f t="shared" si="2"/>
        <v>555</v>
      </c>
      <c r="S18" s="193"/>
      <c r="X18" s="196"/>
    </row>
    <row r="19" spans="1:26" s="199" customFormat="1" ht="22.5" customHeight="1">
      <c r="A19" s="231" t="s">
        <v>4</v>
      </c>
      <c r="B19" s="232" t="s">
        <v>413</v>
      </c>
      <c r="C19" s="231"/>
      <c r="D19" s="233">
        <f>SUM(D20:D31)</f>
        <v>25000</v>
      </c>
      <c r="E19" s="233">
        <f t="shared" ref="E19:Q19" si="3">SUM(E20:E31)</f>
        <v>0</v>
      </c>
      <c r="F19" s="233">
        <f t="shared" si="3"/>
        <v>0</v>
      </c>
      <c r="G19" s="233">
        <f t="shared" si="3"/>
        <v>0</v>
      </c>
      <c r="H19" s="233">
        <f t="shared" si="3"/>
        <v>0</v>
      </c>
      <c r="I19" s="233">
        <f t="shared" si="3"/>
        <v>0</v>
      </c>
      <c r="J19" s="233">
        <f t="shared" si="3"/>
        <v>0</v>
      </c>
      <c r="K19" s="233">
        <f t="shared" si="3"/>
        <v>0</v>
      </c>
      <c r="L19" s="233">
        <f t="shared" si="3"/>
        <v>0</v>
      </c>
      <c r="M19" s="233">
        <f t="shared" si="3"/>
        <v>0</v>
      </c>
      <c r="N19" s="233">
        <f t="shared" si="3"/>
        <v>0</v>
      </c>
      <c r="O19" s="233">
        <f t="shared" si="3"/>
        <v>0</v>
      </c>
      <c r="P19" s="233">
        <f t="shared" si="3"/>
        <v>0</v>
      </c>
      <c r="Q19" s="233">
        <f t="shared" si="3"/>
        <v>0</v>
      </c>
      <c r="R19" s="233">
        <f>SUM(R20:R31)</f>
        <v>12570</v>
      </c>
      <c r="S19" s="197"/>
      <c r="T19" s="198"/>
      <c r="Z19" s="200"/>
    </row>
    <row r="20" spans="1:26" ht="22.5" customHeight="1">
      <c r="A20" s="166">
        <v>1</v>
      </c>
      <c r="B20" s="112" t="s">
        <v>414</v>
      </c>
      <c r="C20" s="166" t="s">
        <v>148</v>
      </c>
      <c r="D20" s="234">
        <v>2200</v>
      </c>
      <c r="E20" s="228"/>
      <c r="F20" s="228"/>
      <c r="G20" s="228"/>
      <c r="H20" s="228"/>
      <c r="I20" s="228"/>
      <c r="J20" s="228"/>
      <c r="K20" s="228"/>
      <c r="L20" s="228"/>
      <c r="M20" s="228"/>
      <c r="N20" s="228"/>
      <c r="O20" s="228"/>
      <c r="P20" s="228"/>
      <c r="Q20" s="228"/>
      <c r="R20" s="229">
        <v>1000</v>
      </c>
    </row>
    <row r="21" spans="1:26" ht="22.5" customHeight="1">
      <c r="A21" s="166">
        <v>2</v>
      </c>
      <c r="B21" s="112" t="s">
        <v>415</v>
      </c>
      <c r="C21" s="166" t="s">
        <v>163</v>
      </c>
      <c r="D21" s="234">
        <v>2400</v>
      </c>
      <c r="E21" s="228"/>
      <c r="F21" s="228"/>
      <c r="G21" s="228"/>
      <c r="H21" s="228"/>
      <c r="I21" s="228"/>
      <c r="J21" s="228"/>
      <c r="K21" s="228"/>
      <c r="L21" s="228"/>
      <c r="M21" s="228"/>
      <c r="N21" s="228"/>
      <c r="O21" s="228"/>
      <c r="P21" s="228"/>
      <c r="Q21" s="228"/>
      <c r="R21" s="229">
        <v>1000</v>
      </c>
    </row>
    <row r="22" spans="1:26" ht="22.5" customHeight="1">
      <c r="A22" s="166">
        <v>3</v>
      </c>
      <c r="B22" s="112" t="s">
        <v>416</v>
      </c>
      <c r="C22" s="166" t="s">
        <v>155</v>
      </c>
      <c r="D22" s="234">
        <v>1700</v>
      </c>
      <c r="E22" s="228"/>
      <c r="F22" s="228"/>
      <c r="G22" s="228"/>
      <c r="H22" s="228"/>
      <c r="I22" s="228"/>
      <c r="J22" s="228"/>
      <c r="K22" s="228"/>
      <c r="L22" s="228"/>
      <c r="M22" s="228"/>
      <c r="N22" s="228"/>
      <c r="O22" s="228"/>
      <c r="P22" s="228"/>
      <c r="Q22" s="228"/>
      <c r="R22" s="229">
        <v>1000</v>
      </c>
    </row>
    <row r="23" spans="1:26" ht="22.5" customHeight="1">
      <c r="A23" s="166">
        <v>4</v>
      </c>
      <c r="B23" s="112" t="s">
        <v>417</v>
      </c>
      <c r="C23" s="166" t="s">
        <v>147</v>
      </c>
      <c r="D23" s="234">
        <v>1900</v>
      </c>
      <c r="E23" s="228"/>
      <c r="F23" s="228"/>
      <c r="G23" s="228"/>
      <c r="H23" s="228"/>
      <c r="I23" s="228"/>
      <c r="J23" s="228"/>
      <c r="K23" s="228"/>
      <c r="L23" s="228"/>
      <c r="M23" s="228"/>
      <c r="N23" s="228"/>
      <c r="O23" s="228"/>
      <c r="P23" s="228"/>
      <c r="Q23" s="228"/>
      <c r="R23" s="229">
        <v>1100</v>
      </c>
    </row>
    <row r="24" spans="1:26" ht="22.5" customHeight="1">
      <c r="A24" s="166">
        <v>5</v>
      </c>
      <c r="B24" s="112" t="s">
        <v>418</v>
      </c>
      <c r="C24" s="166" t="s">
        <v>150</v>
      </c>
      <c r="D24" s="234">
        <v>3200</v>
      </c>
      <c r="E24" s="228"/>
      <c r="F24" s="228"/>
      <c r="G24" s="228"/>
      <c r="H24" s="228"/>
      <c r="I24" s="228"/>
      <c r="J24" s="228"/>
      <c r="K24" s="228"/>
      <c r="L24" s="228"/>
      <c r="M24" s="228"/>
      <c r="N24" s="228"/>
      <c r="O24" s="228"/>
      <c r="P24" s="228"/>
      <c r="Q24" s="228"/>
      <c r="R24" s="229">
        <v>1400</v>
      </c>
    </row>
    <row r="25" spans="1:26" ht="22.5" customHeight="1">
      <c r="A25" s="166">
        <v>6</v>
      </c>
      <c r="B25" s="112" t="s">
        <v>419</v>
      </c>
      <c r="C25" s="166" t="s">
        <v>163</v>
      </c>
      <c r="D25" s="234">
        <v>2000</v>
      </c>
      <c r="E25" s="228"/>
      <c r="F25" s="228"/>
      <c r="G25" s="228"/>
      <c r="H25" s="228"/>
      <c r="I25" s="228"/>
      <c r="J25" s="228"/>
      <c r="K25" s="228"/>
      <c r="L25" s="228"/>
      <c r="M25" s="228"/>
      <c r="N25" s="228"/>
      <c r="O25" s="228"/>
      <c r="P25" s="228"/>
      <c r="Q25" s="228"/>
      <c r="R25" s="229">
        <v>1000</v>
      </c>
    </row>
    <row r="26" spans="1:26" ht="22.5" customHeight="1">
      <c r="A26" s="166">
        <v>7</v>
      </c>
      <c r="B26" s="112" t="s">
        <v>420</v>
      </c>
      <c r="C26" s="166" t="s">
        <v>163</v>
      </c>
      <c r="D26" s="234">
        <v>1600</v>
      </c>
      <c r="E26" s="228"/>
      <c r="F26" s="228"/>
      <c r="G26" s="228"/>
      <c r="H26" s="228"/>
      <c r="I26" s="228"/>
      <c r="J26" s="228"/>
      <c r="K26" s="228"/>
      <c r="L26" s="228"/>
      <c r="M26" s="228"/>
      <c r="N26" s="228"/>
      <c r="O26" s="228"/>
      <c r="P26" s="228"/>
      <c r="Q26" s="228"/>
      <c r="R26" s="229">
        <v>900</v>
      </c>
    </row>
    <row r="27" spans="1:26" ht="22.5" customHeight="1">
      <c r="A27" s="166">
        <v>8</v>
      </c>
      <c r="B27" s="112" t="s">
        <v>421</v>
      </c>
      <c r="C27" s="166" t="s">
        <v>147</v>
      </c>
      <c r="D27" s="234">
        <v>1600</v>
      </c>
      <c r="E27" s="228"/>
      <c r="F27" s="228"/>
      <c r="G27" s="228"/>
      <c r="H27" s="228"/>
      <c r="I27" s="228"/>
      <c r="J27" s="228"/>
      <c r="K27" s="228"/>
      <c r="L27" s="228"/>
      <c r="M27" s="228"/>
      <c r="N27" s="228"/>
      <c r="O27" s="228"/>
      <c r="P27" s="228"/>
      <c r="Q27" s="228"/>
      <c r="R27" s="229">
        <v>900</v>
      </c>
    </row>
    <row r="28" spans="1:26" ht="22.5" customHeight="1">
      <c r="A28" s="166">
        <v>9</v>
      </c>
      <c r="B28" s="112" t="s">
        <v>422</v>
      </c>
      <c r="C28" s="166" t="s">
        <v>164</v>
      </c>
      <c r="D28" s="234">
        <v>1500</v>
      </c>
      <c r="E28" s="228"/>
      <c r="F28" s="228"/>
      <c r="G28" s="228"/>
      <c r="H28" s="228"/>
      <c r="I28" s="228"/>
      <c r="J28" s="228"/>
      <c r="K28" s="228"/>
      <c r="L28" s="228"/>
      <c r="M28" s="228"/>
      <c r="N28" s="228"/>
      <c r="O28" s="228"/>
      <c r="P28" s="228"/>
      <c r="Q28" s="228"/>
      <c r="R28" s="229">
        <v>800</v>
      </c>
    </row>
    <row r="29" spans="1:26" ht="22.5" customHeight="1">
      <c r="A29" s="166">
        <v>10</v>
      </c>
      <c r="B29" s="112" t="s">
        <v>423</v>
      </c>
      <c r="C29" s="166" t="s">
        <v>153</v>
      </c>
      <c r="D29" s="234">
        <v>1800</v>
      </c>
      <c r="E29" s="228"/>
      <c r="F29" s="228"/>
      <c r="G29" s="228"/>
      <c r="H29" s="228"/>
      <c r="I29" s="228"/>
      <c r="J29" s="228"/>
      <c r="K29" s="228"/>
      <c r="L29" s="228"/>
      <c r="M29" s="228"/>
      <c r="N29" s="228"/>
      <c r="O29" s="228"/>
      <c r="P29" s="228"/>
      <c r="Q29" s="228"/>
      <c r="R29" s="229">
        <v>1100</v>
      </c>
    </row>
    <row r="30" spans="1:26" ht="22.5" customHeight="1">
      <c r="A30" s="166">
        <v>11</v>
      </c>
      <c r="B30" s="112" t="s">
        <v>424</v>
      </c>
      <c r="C30" s="166" t="s">
        <v>158</v>
      </c>
      <c r="D30" s="234">
        <v>2500</v>
      </c>
      <c r="E30" s="228"/>
      <c r="F30" s="228"/>
      <c r="G30" s="228"/>
      <c r="H30" s="228"/>
      <c r="I30" s="228"/>
      <c r="J30" s="228"/>
      <c r="K30" s="228"/>
      <c r="L30" s="228"/>
      <c r="M30" s="228"/>
      <c r="N30" s="228"/>
      <c r="O30" s="228"/>
      <c r="P30" s="228"/>
      <c r="Q30" s="228"/>
      <c r="R30" s="229">
        <v>1170</v>
      </c>
    </row>
    <row r="31" spans="1:26" ht="22.5" customHeight="1">
      <c r="A31" s="166">
        <v>12</v>
      </c>
      <c r="B31" s="112" t="s">
        <v>425</v>
      </c>
      <c r="C31" s="166" t="s">
        <v>426</v>
      </c>
      <c r="D31" s="234">
        <v>2600</v>
      </c>
      <c r="E31" s="228"/>
      <c r="F31" s="228"/>
      <c r="G31" s="228"/>
      <c r="H31" s="228"/>
      <c r="I31" s="228"/>
      <c r="J31" s="228"/>
      <c r="K31" s="228"/>
      <c r="L31" s="228"/>
      <c r="M31" s="228"/>
      <c r="N31" s="228"/>
      <c r="O31" s="228"/>
      <c r="P31" s="228"/>
      <c r="Q31" s="228"/>
      <c r="R31" s="229">
        <v>1200</v>
      </c>
    </row>
    <row r="32" spans="1:26">
      <c r="B32" s="171"/>
    </row>
    <row r="33" spans="2:2">
      <c r="B33" s="171"/>
    </row>
  </sheetData>
  <mergeCells count="14">
    <mergeCell ref="R5:R6"/>
    <mergeCell ref="S5:S6"/>
    <mergeCell ref="Q1:R1"/>
    <mergeCell ref="H5:L6"/>
    <mergeCell ref="M5:Q6"/>
    <mergeCell ref="A2:S2"/>
    <mergeCell ref="A3:R3"/>
    <mergeCell ref="G4:S4"/>
    <mergeCell ref="A5:A6"/>
    <mergeCell ref="B5:B6"/>
    <mergeCell ref="C5:C6"/>
    <mergeCell ref="D5:D6"/>
    <mergeCell ref="E5:F5"/>
    <mergeCell ref="G5:G6"/>
  </mergeCells>
  <pageMargins left="0.62992125984251968" right="0.51181102362204722" top="0.47244094488188981" bottom="0.59055118110236227" header="0.31496062992125984" footer="0.31496062992125984"/>
  <pageSetup paperSize="9" orientation="landscape" verticalDpi="0"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L18"/>
  <sheetViews>
    <sheetView tabSelected="1" workbookViewId="0">
      <selection activeCell="L12" sqref="L12"/>
    </sheetView>
  </sheetViews>
  <sheetFormatPr defaultRowHeight="15.75"/>
  <cols>
    <col min="1" max="1" width="5.140625" style="107" customWidth="1"/>
    <col min="2" max="2" width="53.7109375" style="202" customWidth="1"/>
    <col min="3" max="3" width="16" style="107" customWidth="1"/>
    <col min="4" max="4" width="15.28515625" style="209" customWidth="1"/>
    <col min="5" max="5" width="13.42578125" style="210" hidden="1" customWidth="1"/>
    <col min="6" max="6" width="11.5703125" style="210" customWidth="1"/>
    <col min="7" max="7" width="12.5703125" style="210" customWidth="1"/>
    <col min="8" max="8" width="12.42578125" style="210" customWidth="1"/>
    <col min="9" max="9" width="13.7109375" style="205" customWidth="1"/>
    <col min="10" max="10" width="14.28515625" style="202" customWidth="1"/>
    <col min="11" max="258" width="9.140625" style="202"/>
    <col min="259" max="259" width="5.85546875" style="202" customWidth="1"/>
    <col min="260" max="260" width="33.42578125" style="202" customWidth="1"/>
    <col min="261" max="261" width="13" style="202" customWidth="1"/>
    <col min="262" max="262" width="14.140625" style="202" bestFit="1" customWidth="1"/>
    <col min="263" max="263" width="11.42578125" style="202" customWidth="1"/>
    <col min="264" max="264" width="13" style="202" bestFit="1" customWidth="1"/>
    <col min="265" max="514" width="9.140625" style="202"/>
    <col min="515" max="515" width="5.85546875" style="202" customWidth="1"/>
    <col min="516" max="516" width="33.42578125" style="202" customWidth="1"/>
    <col min="517" max="517" width="13" style="202" customWidth="1"/>
    <col min="518" max="518" width="14.140625" style="202" bestFit="1" customWidth="1"/>
    <col min="519" max="519" width="11.42578125" style="202" customWidth="1"/>
    <col min="520" max="520" width="13" style="202" bestFit="1" customWidth="1"/>
    <col min="521" max="770" width="9.140625" style="202"/>
    <col min="771" max="771" width="5.85546875" style="202" customWidth="1"/>
    <col min="772" max="772" width="33.42578125" style="202" customWidth="1"/>
    <col min="773" max="773" width="13" style="202" customWidth="1"/>
    <col min="774" max="774" width="14.140625" style="202" bestFit="1" customWidth="1"/>
    <col min="775" max="775" width="11.42578125" style="202" customWidth="1"/>
    <col min="776" max="776" width="13" style="202" bestFit="1" customWidth="1"/>
    <col min="777" max="1026" width="9.140625" style="202"/>
    <col min="1027" max="1027" width="5.85546875" style="202" customWidth="1"/>
    <col min="1028" max="1028" width="33.42578125" style="202" customWidth="1"/>
    <col min="1029" max="1029" width="13" style="202" customWidth="1"/>
    <col min="1030" max="1030" width="14.140625" style="202" bestFit="1" customWidth="1"/>
    <col min="1031" max="1031" width="11.42578125" style="202" customWidth="1"/>
    <col min="1032" max="1032" width="13" style="202" bestFit="1" customWidth="1"/>
    <col min="1033" max="1282" width="9.140625" style="202"/>
    <col min="1283" max="1283" width="5.85546875" style="202" customWidth="1"/>
    <col min="1284" max="1284" width="33.42578125" style="202" customWidth="1"/>
    <col min="1285" max="1285" width="13" style="202" customWidth="1"/>
    <col min="1286" max="1286" width="14.140625" style="202" bestFit="1" customWidth="1"/>
    <col min="1287" max="1287" width="11.42578125" style="202" customWidth="1"/>
    <col min="1288" max="1288" width="13" style="202" bestFit="1" customWidth="1"/>
    <col min="1289" max="1538" width="9.140625" style="202"/>
    <col min="1539" max="1539" width="5.85546875" style="202" customWidth="1"/>
    <col min="1540" max="1540" width="33.42578125" style="202" customWidth="1"/>
    <col min="1541" max="1541" width="13" style="202" customWidth="1"/>
    <col min="1542" max="1542" width="14.140625" style="202" bestFit="1" customWidth="1"/>
    <col min="1543" max="1543" width="11.42578125" style="202" customWidth="1"/>
    <col min="1544" max="1544" width="13" style="202" bestFit="1" customWidth="1"/>
    <col min="1545" max="1794" width="9.140625" style="202"/>
    <col min="1795" max="1795" width="5.85546875" style="202" customWidth="1"/>
    <col min="1796" max="1796" width="33.42578125" style="202" customWidth="1"/>
    <col min="1797" max="1797" width="13" style="202" customWidth="1"/>
    <col min="1798" max="1798" width="14.140625" style="202" bestFit="1" customWidth="1"/>
    <col min="1799" max="1799" width="11.42578125" style="202" customWidth="1"/>
    <col min="1800" max="1800" width="13" style="202" bestFit="1" customWidth="1"/>
    <col min="1801" max="2050" width="9.140625" style="202"/>
    <col min="2051" max="2051" width="5.85546875" style="202" customWidth="1"/>
    <col min="2052" max="2052" width="33.42578125" style="202" customWidth="1"/>
    <col min="2053" max="2053" width="13" style="202" customWidth="1"/>
    <col min="2054" max="2054" width="14.140625" style="202" bestFit="1" customWidth="1"/>
    <col min="2055" max="2055" width="11.42578125" style="202" customWidth="1"/>
    <col min="2056" max="2056" width="13" style="202" bestFit="1" customWidth="1"/>
    <col min="2057" max="2306" width="9.140625" style="202"/>
    <col min="2307" max="2307" width="5.85546875" style="202" customWidth="1"/>
    <col min="2308" max="2308" width="33.42578125" style="202" customWidth="1"/>
    <col min="2309" max="2309" width="13" style="202" customWidth="1"/>
    <col min="2310" max="2310" width="14.140625" style="202" bestFit="1" customWidth="1"/>
    <col min="2311" max="2311" width="11.42578125" style="202" customWidth="1"/>
    <col min="2312" max="2312" width="13" style="202" bestFit="1" customWidth="1"/>
    <col min="2313" max="2562" width="9.140625" style="202"/>
    <col min="2563" max="2563" width="5.85546875" style="202" customWidth="1"/>
    <col min="2564" max="2564" width="33.42578125" style="202" customWidth="1"/>
    <col min="2565" max="2565" width="13" style="202" customWidth="1"/>
    <col min="2566" max="2566" width="14.140625" style="202" bestFit="1" customWidth="1"/>
    <col min="2567" max="2567" width="11.42578125" style="202" customWidth="1"/>
    <col min="2568" max="2568" width="13" style="202" bestFit="1" customWidth="1"/>
    <col min="2569" max="2818" width="9.140625" style="202"/>
    <col min="2819" max="2819" width="5.85546875" style="202" customWidth="1"/>
    <col min="2820" max="2820" width="33.42578125" style="202" customWidth="1"/>
    <col min="2821" max="2821" width="13" style="202" customWidth="1"/>
    <col min="2822" max="2822" width="14.140625" style="202" bestFit="1" customWidth="1"/>
    <col min="2823" max="2823" width="11.42578125" style="202" customWidth="1"/>
    <col min="2824" max="2824" width="13" style="202" bestFit="1" customWidth="1"/>
    <col min="2825" max="3074" width="9.140625" style="202"/>
    <col min="3075" max="3075" width="5.85546875" style="202" customWidth="1"/>
    <col min="3076" max="3076" width="33.42578125" style="202" customWidth="1"/>
    <col min="3077" max="3077" width="13" style="202" customWidth="1"/>
    <col min="3078" max="3078" width="14.140625" style="202" bestFit="1" customWidth="1"/>
    <col min="3079" max="3079" width="11.42578125" style="202" customWidth="1"/>
    <col min="3080" max="3080" width="13" style="202" bestFit="1" customWidth="1"/>
    <col min="3081" max="3330" width="9.140625" style="202"/>
    <col min="3331" max="3331" width="5.85546875" style="202" customWidth="1"/>
    <col min="3332" max="3332" width="33.42578125" style="202" customWidth="1"/>
    <col min="3333" max="3333" width="13" style="202" customWidth="1"/>
    <col min="3334" max="3334" width="14.140625" style="202" bestFit="1" customWidth="1"/>
    <col min="3335" max="3335" width="11.42578125" style="202" customWidth="1"/>
    <col min="3336" max="3336" width="13" style="202" bestFit="1" customWidth="1"/>
    <col min="3337" max="3586" width="9.140625" style="202"/>
    <col min="3587" max="3587" width="5.85546875" style="202" customWidth="1"/>
    <col min="3588" max="3588" width="33.42578125" style="202" customWidth="1"/>
    <col min="3589" max="3589" width="13" style="202" customWidth="1"/>
    <col min="3590" max="3590" width="14.140625" style="202" bestFit="1" customWidth="1"/>
    <col min="3591" max="3591" width="11.42578125" style="202" customWidth="1"/>
    <col min="3592" max="3592" width="13" style="202" bestFit="1" customWidth="1"/>
    <col min="3593" max="3842" width="9.140625" style="202"/>
    <col min="3843" max="3843" width="5.85546875" style="202" customWidth="1"/>
    <col min="3844" max="3844" width="33.42578125" style="202" customWidth="1"/>
    <col min="3845" max="3845" width="13" style="202" customWidth="1"/>
    <col min="3846" max="3846" width="14.140625" style="202" bestFit="1" customWidth="1"/>
    <col min="3847" max="3847" width="11.42578125" style="202" customWidth="1"/>
    <col min="3848" max="3848" width="13" style="202" bestFit="1" customWidth="1"/>
    <col min="3849" max="4098" width="9.140625" style="202"/>
    <col min="4099" max="4099" width="5.85546875" style="202" customWidth="1"/>
    <col min="4100" max="4100" width="33.42578125" style="202" customWidth="1"/>
    <col min="4101" max="4101" width="13" style="202" customWidth="1"/>
    <col min="4102" max="4102" width="14.140625" style="202" bestFit="1" customWidth="1"/>
    <col min="4103" max="4103" width="11.42578125" style="202" customWidth="1"/>
    <col min="4104" max="4104" width="13" style="202" bestFit="1" customWidth="1"/>
    <col min="4105" max="4354" width="9.140625" style="202"/>
    <col min="4355" max="4355" width="5.85546875" style="202" customWidth="1"/>
    <col min="4356" max="4356" width="33.42578125" style="202" customWidth="1"/>
    <col min="4357" max="4357" width="13" style="202" customWidth="1"/>
    <col min="4358" max="4358" width="14.140625" style="202" bestFit="1" customWidth="1"/>
    <col min="4359" max="4359" width="11.42578125" style="202" customWidth="1"/>
    <col min="4360" max="4360" width="13" style="202" bestFit="1" customWidth="1"/>
    <col min="4361" max="4610" width="9.140625" style="202"/>
    <col min="4611" max="4611" width="5.85546875" style="202" customWidth="1"/>
    <col min="4612" max="4612" width="33.42578125" style="202" customWidth="1"/>
    <col min="4613" max="4613" width="13" style="202" customWidth="1"/>
    <col min="4614" max="4614" width="14.140625" style="202" bestFit="1" customWidth="1"/>
    <col min="4615" max="4615" width="11.42578125" style="202" customWidth="1"/>
    <col min="4616" max="4616" width="13" style="202" bestFit="1" customWidth="1"/>
    <col min="4617" max="4866" width="9.140625" style="202"/>
    <col min="4867" max="4867" width="5.85546875" style="202" customWidth="1"/>
    <col min="4868" max="4868" width="33.42578125" style="202" customWidth="1"/>
    <col min="4869" max="4869" width="13" style="202" customWidth="1"/>
    <col min="4870" max="4870" width="14.140625" style="202" bestFit="1" customWidth="1"/>
    <col min="4871" max="4871" width="11.42578125" style="202" customWidth="1"/>
    <col min="4872" max="4872" width="13" style="202" bestFit="1" customWidth="1"/>
    <col min="4873" max="5122" width="9.140625" style="202"/>
    <col min="5123" max="5123" width="5.85546875" style="202" customWidth="1"/>
    <col min="5124" max="5124" width="33.42578125" style="202" customWidth="1"/>
    <col min="5125" max="5125" width="13" style="202" customWidth="1"/>
    <col min="5126" max="5126" width="14.140625" style="202" bestFit="1" customWidth="1"/>
    <col min="5127" max="5127" width="11.42578125" style="202" customWidth="1"/>
    <col min="5128" max="5128" width="13" style="202" bestFit="1" customWidth="1"/>
    <col min="5129" max="5378" width="9.140625" style="202"/>
    <col min="5379" max="5379" width="5.85546875" style="202" customWidth="1"/>
    <col min="5380" max="5380" width="33.42578125" style="202" customWidth="1"/>
    <col min="5381" max="5381" width="13" style="202" customWidth="1"/>
    <col min="5382" max="5382" width="14.140625" style="202" bestFit="1" customWidth="1"/>
    <col min="5383" max="5383" width="11.42578125" style="202" customWidth="1"/>
    <col min="5384" max="5384" width="13" style="202" bestFit="1" customWidth="1"/>
    <col min="5385" max="5634" width="9.140625" style="202"/>
    <col min="5635" max="5635" width="5.85546875" style="202" customWidth="1"/>
    <col min="5636" max="5636" width="33.42578125" style="202" customWidth="1"/>
    <col min="5637" max="5637" width="13" style="202" customWidth="1"/>
    <col min="5638" max="5638" width="14.140625" style="202" bestFit="1" customWidth="1"/>
    <col min="5639" max="5639" width="11.42578125" style="202" customWidth="1"/>
    <col min="5640" max="5640" width="13" style="202" bestFit="1" customWidth="1"/>
    <col min="5641" max="5890" width="9.140625" style="202"/>
    <col min="5891" max="5891" width="5.85546875" style="202" customWidth="1"/>
    <col min="5892" max="5892" width="33.42578125" style="202" customWidth="1"/>
    <col min="5893" max="5893" width="13" style="202" customWidth="1"/>
    <col min="5894" max="5894" width="14.140625" style="202" bestFit="1" customWidth="1"/>
    <col min="5895" max="5895" width="11.42578125" style="202" customWidth="1"/>
    <col min="5896" max="5896" width="13" style="202" bestFit="1" customWidth="1"/>
    <col min="5897" max="6146" width="9.140625" style="202"/>
    <col min="6147" max="6147" width="5.85546875" style="202" customWidth="1"/>
    <col min="6148" max="6148" width="33.42578125" style="202" customWidth="1"/>
    <col min="6149" max="6149" width="13" style="202" customWidth="1"/>
    <col min="6150" max="6150" width="14.140625" style="202" bestFit="1" customWidth="1"/>
    <col min="6151" max="6151" width="11.42578125" style="202" customWidth="1"/>
    <col min="6152" max="6152" width="13" style="202" bestFit="1" customWidth="1"/>
    <col min="6153" max="6402" width="9.140625" style="202"/>
    <col min="6403" max="6403" width="5.85546875" style="202" customWidth="1"/>
    <col min="6404" max="6404" width="33.42578125" style="202" customWidth="1"/>
    <col min="6405" max="6405" width="13" style="202" customWidth="1"/>
    <col min="6406" max="6406" width="14.140625" style="202" bestFit="1" customWidth="1"/>
    <col min="6407" max="6407" width="11.42578125" style="202" customWidth="1"/>
    <col min="6408" max="6408" width="13" style="202" bestFit="1" customWidth="1"/>
    <col min="6409" max="6658" width="9.140625" style="202"/>
    <col min="6659" max="6659" width="5.85546875" style="202" customWidth="1"/>
    <col min="6660" max="6660" width="33.42578125" style="202" customWidth="1"/>
    <col min="6661" max="6661" width="13" style="202" customWidth="1"/>
    <col min="6662" max="6662" width="14.140625" style="202" bestFit="1" customWidth="1"/>
    <col min="6663" max="6663" width="11.42578125" style="202" customWidth="1"/>
    <col min="6664" max="6664" width="13" style="202" bestFit="1" customWidth="1"/>
    <col min="6665" max="6914" width="9.140625" style="202"/>
    <col min="6915" max="6915" width="5.85546875" style="202" customWidth="1"/>
    <col min="6916" max="6916" width="33.42578125" style="202" customWidth="1"/>
    <col min="6917" max="6917" width="13" style="202" customWidth="1"/>
    <col min="6918" max="6918" width="14.140625" style="202" bestFit="1" customWidth="1"/>
    <col min="6919" max="6919" width="11.42578125" style="202" customWidth="1"/>
    <col min="6920" max="6920" width="13" style="202" bestFit="1" customWidth="1"/>
    <col min="6921" max="7170" width="9.140625" style="202"/>
    <col min="7171" max="7171" width="5.85546875" style="202" customWidth="1"/>
    <col min="7172" max="7172" width="33.42578125" style="202" customWidth="1"/>
    <col min="7173" max="7173" width="13" style="202" customWidth="1"/>
    <col min="7174" max="7174" width="14.140625" style="202" bestFit="1" customWidth="1"/>
    <col min="7175" max="7175" width="11.42578125" style="202" customWidth="1"/>
    <col min="7176" max="7176" width="13" style="202" bestFit="1" customWidth="1"/>
    <col min="7177" max="7426" width="9.140625" style="202"/>
    <col min="7427" max="7427" width="5.85546875" style="202" customWidth="1"/>
    <col min="7428" max="7428" width="33.42578125" style="202" customWidth="1"/>
    <col min="7429" max="7429" width="13" style="202" customWidth="1"/>
    <col min="7430" max="7430" width="14.140625" style="202" bestFit="1" customWidth="1"/>
    <col min="7431" max="7431" width="11.42578125" style="202" customWidth="1"/>
    <col min="7432" max="7432" width="13" style="202" bestFit="1" customWidth="1"/>
    <col min="7433" max="7682" width="9.140625" style="202"/>
    <col min="7683" max="7683" width="5.85546875" style="202" customWidth="1"/>
    <col min="7684" max="7684" width="33.42578125" style="202" customWidth="1"/>
    <col min="7685" max="7685" width="13" style="202" customWidth="1"/>
    <col min="7686" max="7686" width="14.140625" style="202" bestFit="1" customWidth="1"/>
    <col min="7687" max="7687" width="11.42578125" style="202" customWidth="1"/>
    <col min="7688" max="7688" width="13" style="202" bestFit="1" customWidth="1"/>
    <col min="7689" max="7938" width="9.140625" style="202"/>
    <col min="7939" max="7939" width="5.85546875" style="202" customWidth="1"/>
    <col min="7940" max="7940" width="33.42578125" style="202" customWidth="1"/>
    <col min="7941" max="7941" width="13" style="202" customWidth="1"/>
    <col min="7942" max="7942" width="14.140625" style="202" bestFit="1" customWidth="1"/>
    <col min="7943" max="7943" width="11.42578125" style="202" customWidth="1"/>
    <col min="7944" max="7944" width="13" style="202" bestFit="1" customWidth="1"/>
    <col min="7945" max="8194" width="9.140625" style="202"/>
    <col min="8195" max="8195" width="5.85546875" style="202" customWidth="1"/>
    <col min="8196" max="8196" width="33.42578125" style="202" customWidth="1"/>
    <col min="8197" max="8197" width="13" style="202" customWidth="1"/>
    <col min="8198" max="8198" width="14.140625" style="202" bestFit="1" customWidth="1"/>
    <col min="8199" max="8199" width="11.42578125" style="202" customWidth="1"/>
    <col min="8200" max="8200" width="13" style="202" bestFit="1" customWidth="1"/>
    <col min="8201" max="8450" width="9.140625" style="202"/>
    <col min="8451" max="8451" width="5.85546875" style="202" customWidth="1"/>
    <col min="8452" max="8452" width="33.42578125" style="202" customWidth="1"/>
    <col min="8453" max="8453" width="13" style="202" customWidth="1"/>
    <col min="8454" max="8454" width="14.140625" style="202" bestFit="1" customWidth="1"/>
    <col min="8455" max="8455" width="11.42578125" style="202" customWidth="1"/>
    <col min="8456" max="8456" width="13" style="202" bestFit="1" customWidth="1"/>
    <col min="8457" max="8706" width="9.140625" style="202"/>
    <col min="8707" max="8707" width="5.85546875" style="202" customWidth="1"/>
    <col min="8708" max="8708" width="33.42578125" style="202" customWidth="1"/>
    <col min="8709" max="8709" width="13" style="202" customWidth="1"/>
    <col min="8710" max="8710" width="14.140625" style="202" bestFit="1" customWidth="1"/>
    <col min="8711" max="8711" width="11.42578125" style="202" customWidth="1"/>
    <col min="8712" max="8712" width="13" style="202" bestFit="1" customWidth="1"/>
    <col min="8713" max="8962" width="9.140625" style="202"/>
    <col min="8963" max="8963" width="5.85546875" style="202" customWidth="1"/>
    <col min="8964" max="8964" width="33.42578125" style="202" customWidth="1"/>
    <col min="8965" max="8965" width="13" style="202" customWidth="1"/>
    <col min="8966" max="8966" width="14.140625" style="202" bestFit="1" customWidth="1"/>
    <col min="8967" max="8967" width="11.42578125" style="202" customWidth="1"/>
    <col min="8968" max="8968" width="13" style="202" bestFit="1" customWidth="1"/>
    <col min="8969" max="9218" width="9.140625" style="202"/>
    <col min="9219" max="9219" width="5.85546875" style="202" customWidth="1"/>
    <col min="9220" max="9220" width="33.42578125" style="202" customWidth="1"/>
    <col min="9221" max="9221" width="13" style="202" customWidth="1"/>
    <col min="9222" max="9222" width="14.140625" style="202" bestFit="1" customWidth="1"/>
    <col min="9223" max="9223" width="11.42578125" style="202" customWidth="1"/>
    <col min="9224" max="9224" width="13" style="202" bestFit="1" customWidth="1"/>
    <col min="9225" max="9474" width="9.140625" style="202"/>
    <col min="9475" max="9475" width="5.85546875" style="202" customWidth="1"/>
    <col min="9476" max="9476" width="33.42578125" style="202" customWidth="1"/>
    <col min="9477" max="9477" width="13" style="202" customWidth="1"/>
    <col min="9478" max="9478" width="14.140625" style="202" bestFit="1" customWidth="1"/>
    <col min="9479" max="9479" width="11.42578125" style="202" customWidth="1"/>
    <col min="9480" max="9480" width="13" style="202" bestFit="1" customWidth="1"/>
    <col min="9481" max="9730" width="9.140625" style="202"/>
    <col min="9731" max="9731" width="5.85546875" style="202" customWidth="1"/>
    <col min="9732" max="9732" width="33.42578125" style="202" customWidth="1"/>
    <col min="9733" max="9733" width="13" style="202" customWidth="1"/>
    <col min="9734" max="9734" width="14.140625" style="202" bestFit="1" customWidth="1"/>
    <col min="9735" max="9735" width="11.42578125" style="202" customWidth="1"/>
    <col min="9736" max="9736" width="13" style="202" bestFit="1" customWidth="1"/>
    <col min="9737" max="9986" width="9.140625" style="202"/>
    <col min="9987" max="9987" width="5.85546875" style="202" customWidth="1"/>
    <col min="9988" max="9988" width="33.42578125" style="202" customWidth="1"/>
    <col min="9989" max="9989" width="13" style="202" customWidth="1"/>
    <col min="9990" max="9990" width="14.140625" style="202" bestFit="1" customWidth="1"/>
    <col min="9991" max="9991" width="11.42578125" style="202" customWidth="1"/>
    <col min="9992" max="9992" width="13" style="202" bestFit="1" customWidth="1"/>
    <col min="9993" max="10242" width="9.140625" style="202"/>
    <col min="10243" max="10243" width="5.85546875" style="202" customWidth="1"/>
    <col min="10244" max="10244" width="33.42578125" style="202" customWidth="1"/>
    <col min="10245" max="10245" width="13" style="202" customWidth="1"/>
    <col min="10246" max="10246" width="14.140625" style="202" bestFit="1" customWidth="1"/>
    <col min="10247" max="10247" width="11.42578125" style="202" customWidth="1"/>
    <col min="10248" max="10248" width="13" style="202" bestFit="1" customWidth="1"/>
    <col min="10249" max="10498" width="9.140625" style="202"/>
    <col min="10499" max="10499" width="5.85546875" style="202" customWidth="1"/>
    <col min="10500" max="10500" width="33.42578125" style="202" customWidth="1"/>
    <col min="10501" max="10501" width="13" style="202" customWidth="1"/>
    <col min="10502" max="10502" width="14.140625" style="202" bestFit="1" customWidth="1"/>
    <col min="10503" max="10503" width="11.42578125" style="202" customWidth="1"/>
    <col min="10504" max="10504" width="13" style="202" bestFit="1" customWidth="1"/>
    <col min="10505" max="10754" width="9.140625" style="202"/>
    <col min="10755" max="10755" width="5.85546875" style="202" customWidth="1"/>
    <col min="10756" max="10756" width="33.42578125" style="202" customWidth="1"/>
    <col min="10757" max="10757" width="13" style="202" customWidth="1"/>
    <col min="10758" max="10758" width="14.140625" style="202" bestFit="1" customWidth="1"/>
    <col min="10759" max="10759" width="11.42578125" style="202" customWidth="1"/>
    <col min="10760" max="10760" width="13" style="202" bestFit="1" customWidth="1"/>
    <col min="10761" max="11010" width="9.140625" style="202"/>
    <col min="11011" max="11011" width="5.85546875" style="202" customWidth="1"/>
    <col min="11012" max="11012" width="33.42578125" style="202" customWidth="1"/>
    <col min="11013" max="11013" width="13" style="202" customWidth="1"/>
    <col min="11014" max="11014" width="14.140625" style="202" bestFit="1" customWidth="1"/>
    <col min="11015" max="11015" width="11.42578125" style="202" customWidth="1"/>
    <col min="11016" max="11016" width="13" style="202" bestFit="1" customWidth="1"/>
    <col min="11017" max="11266" width="9.140625" style="202"/>
    <col min="11267" max="11267" width="5.85546875" style="202" customWidth="1"/>
    <col min="11268" max="11268" width="33.42578125" style="202" customWidth="1"/>
    <col min="11269" max="11269" width="13" style="202" customWidth="1"/>
    <col min="11270" max="11270" width="14.140625" style="202" bestFit="1" customWidth="1"/>
    <col min="11271" max="11271" width="11.42578125" style="202" customWidth="1"/>
    <col min="11272" max="11272" width="13" style="202" bestFit="1" customWidth="1"/>
    <col min="11273" max="11522" width="9.140625" style="202"/>
    <col min="11523" max="11523" width="5.85546875" style="202" customWidth="1"/>
    <col min="11524" max="11524" width="33.42578125" style="202" customWidth="1"/>
    <col min="11525" max="11525" width="13" style="202" customWidth="1"/>
    <col min="11526" max="11526" width="14.140625" style="202" bestFit="1" customWidth="1"/>
    <col min="11527" max="11527" width="11.42578125" style="202" customWidth="1"/>
    <col min="11528" max="11528" width="13" style="202" bestFit="1" customWidth="1"/>
    <col min="11529" max="11778" width="9.140625" style="202"/>
    <col min="11779" max="11779" width="5.85546875" style="202" customWidth="1"/>
    <col min="11780" max="11780" width="33.42578125" style="202" customWidth="1"/>
    <col min="11781" max="11781" width="13" style="202" customWidth="1"/>
    <col min="11782" max="11782" width="14.140625" style="202" bestFit="1" customWidth="1"/>
    <col min="11783" max="11783" width="11.42578125" style="202" customWidth="1"/>
    <col min="11784" max="11784" width="13" style="202" bestFit="1" customWidth="1"/>
    <col min="11785" max="12034" width="9.140625" style="202"/>
    <col min="12035" max="12035" width="5.85546875" style="202" customWidth="1"/>
    <col min="12036" max="12036" width="33.42578125" style="202" customWidth="1"/>
    <col min="12037" max="12037" width="13" style="202" customWidth="1"/>
    <col min="12038" max="12038" width="14.140625" style="202" bestFit="1" customWidth="1"/>
    <col min="12039" max="12039" width="11.42578125" style="202" customWidth="1"/>
    <col min="12040" max="12040" width="13" style="202" bestFit="1" customWidth="1"/>
    <col min="12041" max="12290" width="9.140625" style="202"/>
    <col min="12291" max="12291" width="5.85546875" style="202" customWidth="1"/>
    <col min="12292" max="12292" width="33.42578125" style="202" customWidth="1"/>
    <col min="12293" max="12293" width="13" style="202" customWidth="1"/>
    <col min="12294" max="12294" width="14.140625" style="202" bestFit="1" customWidth="1"/>
    <col min="12295" max="12295" width="11.42578125" style="202" customWidth="1"/>
    <col min="12296" max="12296" width="13" style="202" bestFit="1" customWidth="1"/>
    <col min="12297" max="12546" width="9.140625" style="202"/>
    <col min="12547" max="12547" width="5.85546875" style="202" customWidth="1"/>
    <col min="12548" max="12548" width="33.42578125" style="202" customWidth="1"/>
    <col min="12549" max="12549" width="13" style="202" customWidth="1"/>
    <col min="12550" max="12550" width="14.140625" style="202" bestFit="1" customWidth="1"/>
    <col min="12551" max="12551" width="11.42578125" style="202" customWidth="1"/>
    <col min="12552" max="12552" width="13" style="202" bestFit="1" customWidth="1"/>
    <col min="12553" max="12802" width="9.140625" style="202"/>
    <col min="12803" max="12803" width="5.85546875" style="202" customWidth="1"/>
    <col min="12804" max="12804" width="33.42578125" style="202" customWidth="1"/>
    <col min="12805" max="12805" width="13" style="202" customWidth="1"/>
    <col min="12806" max="12806" width="14.140625" style="202" bestFit="1" customWidth="1"/>
    <col min="12807" max="12807" width="11.42578125" style="202" customWidth="1"/>
    <col min="12808" max="12808" width="13" style="202" bestFit="1" customWidth="1"/>
    <col min="12809" max="13058" width="9.140625" style="202"/>
    <col min="13059" max="13059" width="5.85546875" style="202" customWidth="1"/>
    <col min="13060" max="13060" width="33.42578125" style="202" customWidth="1"/>
    <col min="13061" max="13061" width="13" style="202" customWidth="1"/>
    <col min="13062" max="13062" width="14.140625" style="202" bestFit="1" customWidth="1"/>
    <col min="13063" max="13063" width="11.42578125" style="202" customWidth="1"/>
    <col min="13064" max="13064" width="13" style="202" bestFit="1" customWidth="1"/>
    <col min="13065" max="13314" width="9.140625" style="202"/>
    <col min="13315" max="13315" width="5.85546875" style="202" customWidth="1"/>
    <col min="13316" max="13316" width="33.42578125" style="202" customWidth="1"/>
    <col min="13317" max="13317" width="13" style="202" customWidth="1"/>
    <col min="13318" max="13318" width="14.140625" style="202" bestFit="1" customWidth="1"/>
    <col min="13319" max="13319" width="11.42578125" style="202" customWidth="1"/>
    <col min="13320" max="13320" width="13" style="202" bestFit="1" customWidth="1"/>
    <col min="13321" max="13570" width="9.140625" style="202"/>
    <col min="13571" max="13571" width="5.85546875" style="202" customWidth="1"/>
    <col min="13572" max="13572" width="33.42578125" style="202" customWidth="1"/>
    <col min="13573" max="13573" width="13" style="202" customWidth="1"/>
    <col min="13574" max="13574" width="14.140625" style="202" bestFit="1" customWidth="1"/>
    <col min="13575" max="13575" width="11.42578125" style="202" customWidth="1"/>
    <col min="13576" max="13576" width="13" style="202" bestFit="1" customWidth="1"/>
    <col min="13577" max="13826" width="9.140625" style="202"/>
    <col min="13827" max="13827" width="5.85546875" style="202" customWidth="1"/>
    <col min="13828" max="13828" width="33.42578125" style="202" customWidth="1"/>
    <col min="13829" max="13829" width="13" style="202" customWidth="1"/>
    <col min="13830" max="13830" width="14.140625" style="202" bestFit="1" customWidth="1"/>
    <col min="13831" max="13831" width="11.42578125" style="202" customWidth="1"/>
    <col min="13832" max="13832" width="13" style="202" bestFit="1" customWidth="1"/>
    <col min="13833" max="14082" width="9.140625" style="202"/>
    <col min="14083" max="14083" width="5.85546875" style="202" customWidth="1"/>
    <col min="14084" max="14084" width="33.42578125" style="202" customWidth="1"/>
    <col min="14085" max="14085" width="13" style="202" customWidth="1"/>
    <col min="14086" max="14086" width="14.140625" style="202" bestFit="1" customWidth="1"/>
    <col min="14087" max="14087" width="11.42578125" style="202" customWidth="1"/>
    <col min="14088" max="14088" width="13" style="202" bestFit="1" customWidth="1"/>
    <col min="14089" max="14338" width="9.140625" style="202"/>
    <col min="14339" max="14339" width="5.85546875" style="202" customWidth="1"/>
    <col min="14340" max="14340" width="33.42578125" style="202" customWidth="1"/>
    <col min="14341" max="14341" width="13" style="202" customWidth="1"/>
    <col min="14342" max="14342" width="14.140625" style="202" bestFit="1" customWidth="1"/>
    <col min="14343" max="14343" width="11.42578125" style="202" customWidth="1"/>
    <col min="14344" max="14344" width="13" style="202" bestFit="1" customWidth="1"/>
    <col min="14345" max="14594" width="9.140625" style="202"/>
    <col min="14595" max="14595" width="5.85546875" style="202" customWidth="1"/>
    <col min="14596" max="14596" width="33.42578125" style="202" customWidth="1"/>
    <col min="14597" max="14597" width="13" style="202" customWidth="1"/>
    <col min="14598" max="14598" width="14.140625" style="202" bestFit="1" customWidth="1"/>
    <col min="14599" max="14599" width="11.42578125" style="202" customWidth="1"/>
    <col min="14600" max="14600" width="13" style="202" bestFit="1" customWidth="1"/>
    <col min="14601" max="14850" width="9.140625" style="202"/>
    <col min="14851" max="14851" width="5.85546875" style="202" customWidth="1"/>
    <col min="14852" max="14852" width="33.42578125" style="202" customWidth="1"/>
    <col min="14853" max="14853" width="13" style="202" customWidth="1"/>
    <col min="14854" max="14854" width="14.140625" style="202" bestFit="1" customWidth="1"/>
    <col min="14855" max="14855" width="11.42578125" style="202" customWidth="1"/>
    <col min="14856" max="14856" width="13" style="202" bestFit="1" customWidth="1"/>
    <col min="14857" max="15106" width="9.140625" style="202"/>
    <col min="15107" max="15107" width="5.85546875" style="202" customWidth="1"/>
    <col min="15108" max="15108" width="33.42578125" style="202" customWidth="1"/>
    <col min="15109" max="15109" width="13" style="202" customWidth="1"/>
    <col min="15110" max="15110" width="14.140625" style="202" bestFit="1" customWidth="1"/>
    <col min="15111" max="15111" width="11.42578125" style="202" customWidth="1"/>
    <col min="15112" max="15112" width="13" style="202" bestFit="1" customWidth="1"/>
    <col min="15113" max="15362" width="9.140625" style="202"/>
    <col min="15363" max="15363" width="5.85546875" style="202" customWidth="1"/>
    <col min="15364" max="15364" width="33.42578125" style="202" customWidth="1"/>
    <col min="15365" max="15365" width="13" style="202" customWidth="1"/>
    <col min="15366" max="15366" width="14.140625" style="202" bestFit="1" customWidth="1"/>
    <col min="15367" max="15367" width="11.42578125" style="202" customWidth="1"/>
    <col min="15368" max="15368" width="13" style="202" bestFit="1" customWidth="1"/>
    <col min="15369" max="15618" width="9.140625" style="202"/>
    <col min="15619" max="15619" width="5.85546875" style="202" customWidth="1"/>
    <col min="15620" max="15620" width="33.42578125" style="202" customWidth="1"/>
    <col min="15621" max="15621" width="13" style="202" customWidth="1"/>
    <col min="15622" max="15622" width="14.140625" style="202" bestFit="1" customWidth="1"/>
    <col min="15623" max="15623" width="11.42578125" style="202" customWidth="1"/>
    <col min="15624" max="15624" width="13" style="202" bestFit="1" customWidth="1"/>
    <col min="15625" max="15874" width="9.140625" style="202"/>
    <col min="15875" max="15875" width="5.85546875" style="202" customWidth="1"/>
    <col min="15876" max="15876" width="33.42578125" style="202" customWidth="1"/>
    <col min="15877" max="15877" width="13" style="202" customWidth="1"/>
    <col min="15878" max="15878" width="14.140625" style="202" bestFit="1" customWidth="1"/>
    <col min="15879" max="15879" width="11.42578125" style="202" customWidth="1"/>
    <col min="15880" max="15880" width="13" style="202" bestFit="1" customWidth="1"/>
    <col min="15881" max="16130" width="9.140625" style="202"/>
    <col min="16131" max="16131" width="5.85546875" style="202" customWidth="1"/>
    <col min="16132" max="16132" width="33.42578125" style="202" customWidth="1"/>
    <col min="16133" max="16133" width="13" style="202" customWidth="1"/>
    <col min="16134" max="16134" width="14.140625" style="202" bestFit="1" customWidth="1"/>
    <col min="16135" max="16135" width="11.42578125" style="202" customWidth="1"/>
    <col min="16136" max="16136" width="13" style="202" bestFit="1" customWidth="1"/>
    <col min="16137" max="16381" width="9.140625" style="202"/>
    <col min="16382" max="16384" width="9" style="202" customWidth="1"/>
  </cols>
  <sheetData>
    <row r="1" spans="1:12">
      <c r="H1" s="292" t="s">
        <v>436</v>
      </c>
      <c r="I1" s="292"/>
    </row>
    <row r="2" spans="1:12" ht="6" customHeight="1"/>
    <row r="3" spans="1:12" ht="18.75" customHeight="1">
      <c r="A3" s="321" t="s">
        <v>427</v>
      </c>
      <c r="B3" s="322"/>
      <c r="C3" s="322"/>
      <c r="D3" s="322"/>
      <c r="E3" s="322"/>
      <c r="F3" s="322"/>
      <c r="G3" s="322"/>
      <c r="H3" s="322"/>
      <c r="I3" s="322"/>
    </row>
    <row r="4" spans="1:12" ht="18.75" customHeight="1">
      <c r="A4" s="321" t="s">
        <v>268</v>
      </c>
      <c r="B4" s="321"/>
      <c r="C4" s="321"/>
      <c r="D4" s="321"/>
      <c r="E4" s="321"/>
      <c r="F4" s="321"/>
      <c r="G4" s="321"/>
      <c r="H4" s="321"/>
      <c r="I4" s="321"/>
    </row>
    <row r="5" spans="1:12" ht="24" customHeight="1">
      <c r="A5" s="323" t="str">
        <f>'Biểu 1'!A3:C3</f>
        <v>(Kèm theo Quyết định số 2128 /QĐ-UBND ngày 20 tháng 12 năm 2022 của UBND huyện Tuần Giáo)</v>
      </c>
      <c r="B5" s="323"/>
      <c r="C5" s="323"/>
      <c r="D5" s="323"/>
      <c r="E5" s="323"/>
      <c r="F5" s="323"/>
      <c r="G5" s="323"/>
      <c r="H5" s="323"/>
      <c r="I5" s="323"/>
    </row>
    <row r="6" spans="1:12">
      <c r="A6" s="156"/>
      <c r="B6" s="203"/>
      <c r="C6" s="157"/>
      <c r="D6" s="211"/>
      <c r="E6" s="212"/>
      <c r="F6" s="212"/>
      <c r="G6" s="324" t="s">
        <v>304</v>
      </c>
      <c r="H6" s="324"/>
      <c r="I6" s="324"/>
    </row>
    <row r="7" spans="1:12" s="204" customFormat="1" ht="20.25" customHeight="1">
      <c r="A7" s="325" t="s">
        <v>0</v>
      </c>
      <c r="B7" s="325" t="s">
        <v>305</v>
      </c>
      <c r="C7" s="326" t="s">
        <v>306</v>
      </c>
      <c r="D7" s="329" t="s">
        <v>438</v>
      </c>
      <c r="E7" s="329" t="s">
        <v>308</v>
      </c>
      <c r="F7" s="320" t="s">
        <v>428</v>
      </c>
      <c r="G7" s="320"/>
      <c r="H7" s="320"/>
      <c r="I7" s="319" t="s">
        <v>310</v>
      </c>
    </row>
    <row r="8" spans="1:12" s="204" customFormat="1" ht="20.25" customHeight="1">
      <c r="A8" s="325"/>
      <c r="B8" s="325"/>
      <c r="C8" s="327"/>
      <c r="D8" s="330"/>
      <c r="E8" s="330"/>
      <c r="F8" s="320" t="s">
        <v>45</v>
      </c>
      <c r="G8" s="320" t="s">
        <v>236</v>
      </c>
      <c r="H8" s="320"/>
      <c r="I8" s="319"/>
    </row>
    <row r="9" spans="1:12" s="204" customFormat="1" ht="49.5" customHeight="1">
      <c r="A9" s="325"/>
      <c r="B9" s="325"/>
      <c r="C9" s="328"/>
      <c r="D9" s="331"/>
      <c r="E9" s="331"/>
      <c r="F9" s="320"/>
      <c r="G9" s="213" t="s">
        <v>237</v>
      </c>
      <c r="H9" s="213" t="s">
        <v>429</v>
      </c>
      <c r="I9" s="319"/>
    </row>
    <row r="10" spans="1:12" s="161" customFormat="1" ht="27.75" customHeight="1">
      <c r="A10" s="158"/>
      <c r="B10" s="159" t="s">
        <v>45</v>
      </c>
      <c r="C10" s="159"/>
      <c r="D10" s="214">
        <f>D11+D16</f>
        <v>14200</v>
      </c>
      <c r="E10" s="214">
        <f t="shared" ref="E10:H10" si="0">E11+E16</f>
        <v>0</v>
      </c>
      <c r="F10" s="214">
        <f t="shared" si="0"/>
        <v>11035</v>
      </c>
      <c r="G10" s="214">
        <f t="shared" si="0"/>
        <v>10714</v>
      </c>
      <c r="H10" s="214">
        <f t="shared" si="0"/>
        <v>321</v>
      </c>
      <c r="I10" s="206"/>
      <c r="J10" s="217"/>
    </row>
    <row r="11" spans="1:12" s="161" customFormat="1" ht="27.75" customHeight="1">
      <c r="A11" s="158" t="s">
        <v>298</v>
      </c>
      <c r="B11" s="174" t="s">
        <v>346</v>
      </c>
      <c r="C11" s="159"/>
      <c r="D11" s="111">
        <f>D12</f>
        <v>4700</v>
      </c>
      <c r="E11" s="111">
        <f t="shared" ref="E11:H11" si="1">E12</f>
        <v>0</v>
      </c>
      <c r="F11" s="111">
        <f t="shared" si="1"/>
        <v>4433</v>
      </c>
      <c r="G11" s="111">
        <f t="shared" si="1"/>
        <v>4304</v>
      </c>
      <c r="H11" s="111">
        <f t="shared" si="1"/>
        <v>129</v>
      </c>
      <c r="I11" s="206"/>
      <c r="L11" s="161" t="s">
        <v>454</v>
      </c>
    </row>
    <row r="12" spans="1:12" s="161" customFormat="1" ht="44.25" customHeight="1">
      <c r="A12" s="158"/>
      <c r="B12" s="207" t="s">
        <v>269</v>
      </c>
      <c r="C12" s="159"/>
      <c r="D12" s="214">
        <f>SUM(D13:D15)</f>
        <v>4700</v>
      </c>
      <c r="E12" s="214">
        <f t="shared" ref="E12:H12" si="2">SUM(E13:E15)</f>
        <v>0</v>
      </c>
      <c r="F12" s="214">
        <f t="shared" si="2"/>
        <v>4433</v>
      </c>
      <c r="G12" s="214">
        <f t="shared" si="2"/>
        <v>4304</v>
      </c>
      <c r="H12" s="214">
        <f t="shared" si="2"/>
        <v>129</v>
      </c>
      <c r="I12" s="206"/>
    </row>
    <row r="13" spans="1:12" s="155" customFormat="1" ht="27.75" customHeight="1">
      <c r="A13" s="163">
        <v>1</v>
      </c>
      <c r="B13" s="181" t="s">
        <v>430</v>
      </c>
      <c r="C13" s="164" t="s">
        <v>211</v>
      </c>
      <c r="D13" s="215">
        <v>1100</v>
      </c>
      <c r="E13" s="216"/>
      <c r="F13" s="216">
        <f>G13+H13</f>
        <v>999</v>
      </c>
      <c r="G13" s="216">
        <v>970</v>
      </c>
      <c r="H13" s="216">
        <f>ROUND(G13*0.03,0)</f>
        <v>29</v>
      </c>
      <c r="I13" s="165"/>
      <c r="J13" s="160"/>
    </row>
    <row r="14" spans="1:12" s="155" customFormat="1" ht="27.75" customHeight="1">
      <c r="A14" s="163">
        <v>2</v>
      </c>
      <c r="B14" s="181" t="s">
        <v>431</v>
      </c>
      <c r="C14" s="164" t="s">
        <v>162</v>
      </c>
      <c r="D14" s="215">
        <v>2500</v>
      </c>
      <c r="E14" s="216"/>
      <c r="F14" s="216">
        <f t="shared" ref="F14:F15" si="3">G14+H14</f>
        <v>2435</v>
      </c>
      <c r="G14" s="216">
        <v>2364</v>
      </c>
      <c r="H14" s="216">
        <f t="shared" ref="H14:H15" si="4">ROUND(G14*0.03,0)</f>
        <v>71</v>
      </c>
      <c r="I14" s="165"/>
      <c r="J14" s="160"/>
      <c r="L14" s="160"/>
    </row>
    <row r="15" spans="1:12" s="155" customFormat="1" ht="27.75" customHeight="1">
      <c r="A15" s="163">
        <v>3</v>
      </c>
      <c r="B15" s="208" t="s">
        <v>432</v>
      </c>
      <c r="C15" s="164" t="s">
        <v>433</v>
      </c>
      <c r="D15" s="215">
        <v>1100</v>
      </c>
      <c r="E15" s="216"/>
      <c r="F15" s="216">
        <f t="shared" si="3"/>
        <v>999</v>
      </c>
      <c r="G15" s="216">
        <v>970</v>
      </c>
      <c r="H15" s="216">
        <f t="shared" si="4"/>
        <v>29</v>
      </c>
      <c r="I15" s="165"/>
      <c r="J15" s="160"/>
      <c r="L15" s="160"/>
    </row>
    <row r="16" spans="1:12" s="161" customFormat="1" ht="27.75" customHeight="1">
      <c r="A16" s="158" t="s">
        <v>298</v>
      </c>
      <c r="B16" s="162" t="s">
        <v>313</v>
      </c>
      <c r="C16" s="159"/>
      <c r="D16" s="214">
        <f>D18</f>
        <v>9500</v>
      </c>
      <c r="E16" s="214">
        <f t="shared" ref="E16:H16" si="5">E18</f>
        <v>0</v>
      </c>
      <c r="F16" s="214">
        <f t="shared" si="5"/>
        <v>6602</v>
      </c>
      <c r="G16" s="214">
        <f t="shared" si="5"/>
        <v>6410</v>
      </c>
      <c r="H16" s="214">
        <f t="shared" si="5"/>
        <v>192</v>
      </c>
      <c r="I16" s="206"/>
    </row>
    <row r="17" spans="1:10" s="161" customFormat="1" ht="44.25" customHeight="1">
      <c r="A17" s="158"/>
      <c r="B17" s="207" t="s">
        <v>270</v>
      </c>
      <c r="C17" s="159"/>
      <c r="D17" s="214">
        <f>D18</f>
        <v>9500</v>
      </c>
      <c r="E17" s="214">
        <f t="shared" ref="E17:H17" si="6">E18</f>
        <v>0</v>
      </c>
      <c r="F17" s="214">
        <f t="shared" si="6"/>
        <v>6602</v>
      </c>
      <c r="G17" s="214">
        <f t="shared" si="6"/>
        <v>6410</v>
      </c>
      <c r="H17" s="214">
        <f t="shared" si="6"/>
        <v>192</v>
      </c>
      <c r="I17" s="206"/>
    </row>
    <row r="18" spans="1:10" s="155" customFormat="1" ht="44.25" customHeight="1">
      <c r="A18" s="163">
        <v>1</v>
      </c>
      <c r="B18" s="181" t="s">
        <v>434</v>
      </c>
      <c r="C18" s="164" t="s">
        <v>435</v>
      </c>
      <c r="D18" s="215">
        <v>9500</v>
      </c>
      <c r="E18" s="216"/>
      <c r="F18" s="216">
        <f t="shared" ref="F18" si="7">G18+H18</f>
        <v>6602</v>
      </c>
      <c r="G18" s="216">
        <v>6410</v>
      </c>
      <c r="H18" s="216">
        <f t="shared" ref="H18" si="8">ROUND(G18*0.03,0)</f>
        <v>192</v>
      </c>
      <c r="I18" s="165"/>
      <c r="J18" s="160"/>
    </row>
  </sheetData>
  <mergeCells count="14">
    <mergeCell ref="I7:I9"/>
    <mergeCell ref="F8:F9"/>
    <mergeCell ref="G8:H8"/>
    <mergeCell ref="H1:I1"/>
    <mergeCell ref="A3:I3"/>
    <mergeCell ref="A4:I4"/>
    <mergeCell ref="A5:I5"/>
    <mergeCell ref="G6:I6"/>
    <mergeCell ref="A7:A9"/>
    <mergeCell ref="B7:B9"/>
    <mergeCell ref="C7:C9"/>
    <mergeCell ref="D7:D9"/>
    <mergeCell ref="E7:E9"/>
    <mergeCell ref="F7:H7"/>
  </mergeCells>
  <pageMargins left="0.55118110236220474" right="0.27559055118110237" top="0.55118110236220474"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XL4Test5</vt:lpstr>
      <vt:lpstr>Biểu 1</vt:lpstr>
      <vt:lpstr>Biểu 2</vt:lpstr>
      <vt:lpstr>Biểu 3</vt:lpstr>
      <vt:lpstr>Biểu 4</vt:lpstr>
      <vt:lpstr>Biểu 5</vt:lpstr>
      <vt:lpstr>Biểu 6</vt:lpstr>
      <vt:lpstr>XL4Test5!_Builtin0</vt:lpstr>
      <vt:lpstr>XL4Test5!Bust</vt:lpstr>
      <vt:lpstr>XL4Test5!Continue</vt:lpstr>
      <vt:lpstr>XL4Test5!Documents_array</vt:lpstr>
      <vt:lpstr>XL4Test5!Hello</vt:lpstr>
      <vt:lpstr>'Biểu 1'!Print_Area</vt:lpstr>
      <vt:lpstr>'Biểu 2'!Print_Area</vt:lpstr>
      <vt:lpstr>'Biểu 3'!Print_Area</vt:lpstr>
      <vt:lpstr>'Biểu 5'!Print_Area</vt:lpstr>
      <vt:lpstr>'Biểu 6'!Print_Area</vt:lpstr>
      <vt:lpstr>'Biểu 1'!Print_Titles</vt:lpstr>
      <vt:lpstr>'Biểu 2'!Print_Titles</vt:lpstr>
      <vt:lpstr>'Biểu 3'!Print_Titles</vt:lpstr>
      <vt:lpstr>'Biểu 4'!Print_Titles</vt:lpstr>
      <vt:lpstr>'Biểu 5'!Print_Titles</vt:lpstr>
    </vt:vector>
  </TitlesOfParts>
  <Company>Doanh nghiep tu nhan T&amp;V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Cop.</dc:creator>
  <cp:lastModifiedBy>Admin</cp:lastModifiedBy>
  <cp:lastPrinted>2022-12-26T00:24:37Z</cp:lastPrinted>
  <dcterms:created xsi:type="dcterms:W3CDTF">2008-10-28T01:28:18Z</dcterms:created>
  <dcterms:modified xsi:type="dcterms:W3CDTF">2022-12-26T00:24:42Z</dcterms:modified>
</cp:coreProperties>
</file>