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C:\Users\INS14-~1\AppData\Local\Temp\Tandan JSC\files\"/>
    </mc:Choice>
  </mc:AlternateContent>
  <xr:revisionPtr revIDLastSave="0" documentId="13_ncr:1_{ED8FFF1C-D0B1-4099-9783-943178845D08}" xr6:coauthVersionLast="47" xr6:coauthVersionMax="47" xr10:uidLastSave="{00000000-0000-0000-0000-000000000000}"/>
  <bookViews>
    <workbookView xWindow="-110" yWindow="-110" windowWidth="19420" windowHeight="10300" tabRatio="646" firstSheet="1" activeTab="1" xr2:uid="{00000000-000D-0000-FFFF-FFFF00000000}"/>
  </bookViews>
  <sheets>
    <sheet name="XL4Test5" sheetId="2" state="hidden" r:id="rId1"/>
    <sheet name="Thu 2022" sheetId="18" r:id="rId2"/>
    <sheet name="Chi 2022" sheetId="17" r:id="rId3"/>
    <sheet name="Thu 2023" sheetId="10" r:id="rId4"/>
    <sheet name="Chi 2023" sheetId="12" r:id="rId5"/>
    <sheet name="Chi xã, TT 2023" sheetId="14" r:id="rId6"/>
    <sheet name="CHI TIẾT SN GD" sheetId="19" r:id="rId7"/>
    <sheet name="XD, SỬA CHỮA TRƯỜNG HỌC" sheetId="20" r:id="rId8"/>
  </sheets>
  <externalReferences>
    <externalReference r:id="rId9"/>
    <externalReference r:id="rId10"/>
  </externalReferences>
  <definedNames>
    <definedName name="_1" localSheetId="0">#REF!</definedName>
    <definedName name="_1">#N/A</definedName>
    <definedName name="_1000A01">#N/A</definedName>
    <definedName name="_2" localSheetId="0">#REF!</definedName>
    <definedName name="_2">#N/A</definedName>
    <definedName name="_Builtin0" localSheetId="0">XL4Test5!$C$23</definedName>
    <definedName name="_CON1" localSheetId="0">#REF!</definedName>
    <definedName name="_CON1">#REF!</definedName>
    <definedName name="_CON2" localSheetId="0">#REF!</definedName>
    <definedName name="_CON2">#REF!</definedName>
    <definedName name="_ddn400">#REF!</definedName>
    <definedName name="_ddn600">#REF!</definedName>
    <definedName name="_Fill" localSheetId="0" hidden="1">#REF!</definedName>
    <definedName name="_Fill" hidden="1">#REF!</definedName>
    <definedName name="_Key1" hidden="1">#REF!</definedName>
    <definedName name="_Key2" hidden="1">#REF!</definedName>
    <definedName name="_MAC12">#REF!</definedName>
    <definedName name="_MAC46">#REF!</definedName>
    <definedName name="_NCL100">#REF!</definedName>
    <definedName name="_NCL200">#REF!</definedName>
    <definedName name="_NCL250">#REF!</definedName>
    <definedName name="_NET2" localSheetId="0">#REF!</definedName>
    <definedName name="_NET2">#REF!</definedName>
    <definedName name="_nin190">#REF!</definedName>
    <definedName name="_Order1" hidden="1">255</definedName>
    <definedName name="_Order2" hidden="1">255</definedName>
    <definedName name="_sc1">#REF!</definedName>
    <definedName name="_SC2">#REF!</definedName>
    <definedName name="_sc3">#REF!</definedName>
    <definedName name="_SN3">#REF!</definedName>
    <definedName name="_Sort" localSheetId="0" hidden="1">#REF!</definedName>
    <definedName name="_Sort" hidden="1">#REF!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z593">#REF!</definedName>
    <definedName name="_VL100">#REF!</definedName>
    <definedName name="_VL200">#REF!</definedName>
    <definedName name="_VL250">#REF!</definedName>
    <definedName name="A" localSheetId="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35_">#REF!</definedName>
    <definedName name="A50_">#REF!</definedName>
    <definedName name="A70_">#REF!</definedName>
    <definedName name="A95_">#REF!</definedName>
    <definedName name="AA" localSheetId="0">#REF!</definedName>
    <definedName name="AA">#REF!</definedName>
    <definedName name="AC120_">#REF!</definedName>
    <definedName name="AC35_">#REF!</definedName>
    <definedName name="AC50_">#REF!</definedName>
    <definedName name="AC70_">#REF!</definedName>
    <definedName name="AC95_">#REF!</definedName>
    <definedName name="ag15F80">#REF!</definedName>
    <definedName name="All_Item">#REF!</definedName>
    <definedName name="ALPIN">#N/A</definedName>
    <definedName name="ALPJYOU">#N/A</definedName>
    <definedName name="ALPTOI">#N/A</definedName>
    <definedName name="b" localSheetId="0">#REF!</definedName>
    <definedName name="BB" localSheetId="0">#REF!</definedName>
    <definedName name="BB">#REF!</definedName>
    <definedName name="BOQ" localSheetId="0">#REF!</definedName>
    <definedName name="BOQ">#REF!</definedName>
    <definedName name="Bust" localSheetId="0">XL4Test5!$C$15</definedName>
    <definedName name="BVCISUMMARY" localSheetId="0">#REF!</definedName>
    <definedName name="BVCISUMMARY">#REF!</definedName>
    <definedName name="C_">#REF!</definedName>
    <definedName name="Category_All">#REF!</definedName>
    <definedName name="CATIN">#N/A</definedName>
    <definedName name="CATJYOU">#N/A</definedName>
    <definedName name="CATREC">#N/A</definedName>
    <definedName name="CATSYU">#N/A</definedName>
    <definedName name="CC">#REF!</definedName>
    <definedName name="CCS">#REF!</definedName>
    <definedName name="CDD">#REF!</definedName>
    <definedName name="CH">#REF!</definedName>
    <definedName name="CK">#REF!</definedName>
    <definedName name="CLVC3">0.1</definedName>
    <definedName name="CLVCTB">#REF!</definedName>
    <definedName name="CLVL">#REF!</definedName>
    <definedName name="Cöï_ly_vaän_chuyeãn">#REF!</definedName>
    <definedName name="CÖÏ_LY_VAÄN_CHUYEÅN">#REF!</definedName>
    <definedName name="COMMON" localSheetId="0">#REF!</definedName>
    <definedName name="COMMON">#REF!</definedName>
    <definedName name="CON_EQP_COS" localSheetId="0">#REF!</definedName>
    <definedName name="CON_EQP_COS">#REF!</definedName>
    <definedName name="CON_EQP_COST">#REF!</definedName>
    <definedName name="CONST_EQ">#REF!</definedName>
    <definedName name="Continue" localSheetId="0">XL4Test5!$C$30</definedName>
    <definedName name="COVER" localSheetId="0">#REF!</definedName>
    <definedName name="COVER">#REF!</definedName>
    <definedName name="CPC">#REF!</definedName>
    <definedName name="CPVC100">#REF!</definedName>
    <definedName name="CRD">#REF!</definedName>
    <definedName name="CRITINST" localSheetId="0">#REF!</definedName>
    <definedName name="CRITINST">#REF!</definedName>
    <definedName name="CRITPURC" localSheetId="0">#REF!</definedName>
    <definedName name="CRITPURC">#REF!</definedName>
    <definedName name="CRS">#REF!</definedName>
    <definedName name="CS">#REF!</definedName>
    <definedName name="CS_10" localSheetId="0">#REF!</definedName>
    <definedName name="CS_10">#REF!</definedName>
    <definedName name="CS_100" localSheetId="0">#REF!</definedName>
    <definedName name="CS_100">#REF!</definedName>
    <definedName name="CS_10S" localSheetId="0">#REF!</definedName>
    <definedName name="CS_10S">#REF!</definedName>
    <definedName name="CS_120" localSheetId="0">#REF!</definedName>
    <definedName name="CS_120">#REF!</definedName>
    <definedName name="CS_140" localSheetId="0">#REF!</definedName>
    <definedName name="CS_140">#REF!</definedName>
    <definedName name="CS_160" localSheetId="0">#REF!</definedName>
    <definedName name="CS_160">#REF!</definedName>
    <definedName name="CS_20" localSheetId="0">#REF!</definedName>
    <definedName name="CS_20">#REF!</definedName>
    <definedName name="CS_30" localSheetId="0">#REF!</definedName>
    <definedName name="CS_30">#REF!</definedName>
    <definedName name="CS_40" localSheetId="0">#REF!</definedName>
    <definedName name="CS_40">#REF!</definedName>
    <definedName name="CS_40S" localSheetId="0">#REF!</definedName>
    <definedName name="CS_40S">#REF!</definedName>
    <definedName name="CS_5S" localSheetId="0">#REF!</definedName>
    <definedName name="CS_5S">#REF!</definedName>
    <definedName name="CS_60" localSheetId="0">#REF!</definedName>
    <definedName name="CS_60">#REF!</definedName>
    <definedName name="CS_80" localSheetId="0">#REF!</definedName>
    <definedName name="CS_80">#REF!</definedName>
    <definedName name="CS_80S" localSheetId="0">#REF!</definedName>
    <definedName name="CS_80S">#REF!</definedName>
    <definedName name="CS_STD" localSheetId="0">#REF!</definedName>
    <definedName name="CS_STD">#REF!</definedName>
    <definedName name="CS_XS" localSheetId="0">#REF!</definedName>
    <definedName name="CS_XS">#REF!</definedName>
    <definedName name="CS_XXS" localSheetId="0">#REF!</definedName>
    <definedName name="CS_XXS">#REF!</definedName>
    <definedName name="csd3p">#REF!</definedName>
    <definedName name="csddg1p">#REF!</definedName>
    <definedName name="csddt1p">#REF!</definedName>
    <definedName name="csht3p">#REF!</definedName>
    <definedName name="CURRENCY">#REF!</definedName>
    <definedName name="CX">#REF!</definedName>
    <definedName name="D_7101A_B">#REF!</definedName>
    <definedName name="_xlnm.Database" localSheetId="0">#REF!</definedName>
    <definedName name="_xlnm.Database">#REF!</definedName>
    <definedName name="DD">#REF!</definedName>
    <definedName name="dgnc">#REF!</definedName>
    <definedName name="dgvl">#REF!</definedName>
    <definedName name="Document_array" localSheetId="0">{"Book1","BC uoc TH thu-chi n¨m 2008.xls"}</definedName>
    <definedName name="Document_array">{"Book1"}</definedName>
    <definedName name="Documents_array" localSheetId="0">XL4Test5!$B$2:$B$19</definedName>
    <definedName name="ds1pnc">#REF!</definedName>
    <definedName name="ds1pvl">#REF!</definedName>
    <definedName name="ds3pnc">#REF!</definedName>
    <definedName name="ds3pvl">#REF!</definedName>
    <definedName name="DSUMDATA" localSheetId="0">#REF!</definedName>
    <definedName name="DSUMDATA">#REF!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f">#REF!</definedName>
    <definedName name="f92F56">#REF!</definedName>
    <definedName name="FACTOR">#REF!</definedName>
    <definedName name="G">#REF!</definedName>
    <definedName name="gl3p">#REF!</definedName>
    <definedName name="h" localSheetId="0">#REF!</definedName>
    <definedName name="h" hidden="1">{"'Sheet1'!$L$16"}</definedName>
    <definedName name="Heä_soá_laép_xaø_H">1.7</definedName>
    <definedName name="heä_soá_sình_laày">#REF!</definedName>
    <definedName name="Hello" localSheetId="0">XL4Test5!$A$33</definedName>
    <definedName name="HOME_MANP" localSheetId="0">#REF!</definedName>
    <definedName name="HOME_MANP">#REF!</definedName>
    <definedName name="HOMEOFFICE_COST" localSheetId="0">#REF!</definedName>
    <definedName name="HOMEOFFICE_COST">#REF!</definedName>
    <definedName name="HSCT3">0.1</definedName>
    <definedName name="hsdc1">#REF!</definedName>
    <definedName name="HSDN">2.5</definedName>
    <definedName name="HSHH">#REF!</definedName>
    <definedName name="HSHHUT">#REF!</definedName>
    <definedName name="HSSL">#REF!</definedName>
    <definedName name="HSVC1">#REF!</definedName>
    <definedName name="HSVC2">#REF!</definedName>
    <definedName name="HSVC3">#REF!</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VL">#REF!</definedName>
    <definedName name="huy" hidden="1">{"'Sheet1'!$L$16"}</definedName>
    <definedName name="IDLAB_COST" localSheetId="0">#REF!</definedName>
    <definedName name="IDLAB_COST">#REF!</definedName>
    <definedName name="IND_LAB">#REF!</definedName>
    <definedName name="INDMANP" localSheetId="0">#REF!</definedName>
    <definedName name="INDMANP">#REF!</definedName>
    <definedName name="j">#REF!</definedName>
    <definedName name="k">#REF!</definedName>
    <definedName name="kp1ph">#REF!</definedName>
    <definedName name="l">#REF!</definedName>
    <definedName name="Lmk">#REF!</definedName>
    <definedName name="LN">#REF!</definedName>
    <definedName name="m">#REF!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J_CON_EQP" localSheetId="0">#REF!</definedName>
    <definedName name="MAJ_CON_EQP">#REF!</definedName>
    <definedName name="Mba1p">#REF!</definedName>
    <definedName name="Mba3p">#REF!</definedName>
    <definedName name="Mbb3p">#REF!</definedName>
    <definedName name="Mbn1p">#REF!</definedName>
    <definedName name="MG_A">#REF!</definedName>
    <definedName name="MTMAC12">#REF!</definedName>
    <definedName name="mtram">#REF!</definedName>
    <definedName name="n">#REF!</definedName>
    <definedName name="n1pig">#REF!</definedName>
    <definedName name="n1pind">#REF!</definedName>
    <definedName name="n1ping">#REF!</definedName>
    <definedName name="n1pint">#REF!</definedName>
    <definedName name="nc1p">#REF!</definedName>
    <definedName name="nc3p">#REF!</definedName>
    <definedName name="NCBD100">#REF!</definedName>
    <definedName name="NCBD200">#REF!</definedName>
    <definedName name="NCBD250">#REF!</definedName>
    <definedName name="nctram">#REF!</definedName>
    <definedName name="NCVC100">#REF!</definedName>
    <definedName name="NCVC200">#REF!</definedName>
    <definedName name="NCVC250">#REF!</definedName>
    <definedName name="NCVC3P">#REF!</definedName>
    <definedName name="NET" localSheetId="0">#REF!</definedName>
    <definedName name="NET">#REF!</definedName>
    <definedName name="NET_1" localSheetId="0">#REF!</definedName>
    <definedName name="NET_1">#REF!</definedName>
    <definedName name="NET_ANA" localSheetId="0">#REF!</definedName>
    <definedName name="NET_ANA">#REF!</definedName>
    <definedName name="NET_ANA_1" localSheetId="0">#REF!</definedName>
    <definedName name="NET_ANA_1">#REF!</definedName>
    <definedName name="NET_ANA_2" localSheetId="0">#REF!</definedName>
    <definedName name="NET_ANA_2">#REF!</definedName>
    <definedName name="nhn">#REF!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g1p">#REF!</definedName>
    <definedName name="ningnc1p">#REF!</definedName>
    <definedName name="ningvl1p">#REF!</definedName>
    <definedName name="ninnc3p">#REF!</definedName>
    <definedName name="nint1p">#REF!</definedName>
    <definedName name="nintnc1p">#REF!</definedName>
    <definedName name="nintvl1p">#REF!</definedName>
    <definedName name="ninvl3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n">#REF!</definedName>
    <definedName name="nn1p">#REF!</definedName>
    <definedName name="nn3p">#REF!</definedName>
    <definedName name="nnnc3p">#REF!</definedName>
    <definedName name="nnvl3p">#REF!</definedName>
    <definedName name="PK">#REF!</definedName>
    <definedName name="PRICE">#REF!</definedName>
    <definedName name="PRICE1">#REF!</definedName>
    <definedName name="_xlnm.Print_Area" localSheetId="4">'Chi 2023'!$A$1:$AE$132</definedName>
    <definedName name="_xlnm.Print_Area" localSheetId="5">'Chi xã, TT 2023'!$A$1:$V$41</definedName>
    <definedName name="_xlnm.Print_Area" localSheetId="1">'Thu 2022'!$A$1:$I$45</definedName>
    <definedName name="_xlnm.Print_Area" localSheetId="0">#REF!</definedName>
    <definedName name="_xlnm.Print_Area">#REF!</definedName>
    <definedName name="PRINT_AREA_MI" localSheetId="0">#REF!</definedName>
    <definedName name="_xlnm.Print_Titles" localSheetId="2">'Chi 2022'!$5:$7</definedName>
    <definedName name="_xlnm.Print_Titles" localSheetId="4">'Chi 2023'!$5:$5</definedName>
    <definedName name="_xlnm.Print_Titles" localSheetId="6">'CHI TIẾT SN GD'!$6:$6</definedName>
    <definedName name="_xlnm.Print_Titles" localSheetId="3">'Thu 2023'!$6:$8</definedName>
    <definedName name="_xlnm.Print_Titles" localSheetId="0">#N/A</definedName>
    <definedName name="_xlnm.Print_Titles">#REF!</definedName>
    <definedName name="PRINT_TITLES_MI" localSheetId="0">#REF!</definedName>
    <definedName name="Print_Titles_MI">#REF!</definedName>
    <definedName name="PRINTA" localSheetId="0">#REF!</definedName>
    <definedName name="PRINTA">#REF!</definedName>
    <definedName name="PRINTB" localSheetId="0">#REF!</definedName>
    <definedName name="PRINTB">#REF!</definedName>
    <definedName name="PRINTC" localSheetId="0">#REF!</definedName>
    <definedName name="PRINTC">#REF!</definedName>
    <definedName name="PROPOSAL" localSheetId="0">#REF!</definedName>
    <definedName name="PROPOSAL">#REF!</definedName>
    <definedName name="ra11p">#REF!</definedName>
    <definedName name="ra13p">#REF!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SCH">#REF!</definedName>
    <definedName name="SDMONG">#REF!</definedName>
    <definedName name="SIZE">#REF!</definedName>
    <definedName name="SL_CRD">#REF!</definedName>
    <definedName name="SL_CRS">#REF!</definedName>
    <definedName name="SL_CS">#REF!</definedName>
    <definedName name="SL_DD">#REF!</definedName>
    <definedName name="soc3p">#REF!</definedName>
    <definedName name="SORT" localSheetId="0">#REF!</definedName>
    <definedName name="SORT">#REF!</definedName>
    <definedName name="SPEC">#REF!</definedName>
    <definedName name="SPECSUMMARY" localSheetId="0">#REF!</definedName>
    <definedName name="SPECSUMMARY">#REF!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MARY" localSheetId="0">#REF!</definedName>
    <definedName name="SUMMARY">#REF!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btram">#REF!</definedName>
    <definedName name="TC">#REF!</definedName>
    <definedName name="TC_NHANH1">#REF!</definedName>
    <definedName name="td1p">#REF!</definedName>
    <definedName name="td3p">#REF!</definedName>
    <definedName name="tdnc1p">#REF!</definedName>
    <definedName name="tdtr2cnc">#REF!</definedName>
    <definedName name="tdtr2cvl">#REF!</definedName>
    <definedName name="tdvl1p">#REF!</definedName>
    <definedName name="THGO1pnc">#REF!</definedName>
    <definedName name="thht">#REF!</definedName>
    <definedName name="thkp3">#REF!</definedName>
    <definedName name="thtt">#REF!</definedName>
    <definedName name="TITAN">#REF!</definedName>
    <definedName name="TLAC120">#REF!</definedName>
    <definedName name="TLAC35">#REF!</definedName>
    <definedName name="TLAC50">#REF!</definedName>
    <definedName name="TLAC70">#REF!</definedName>
    <definedName name="TLAC95">#REF!</definedName>
    <definedName name="TPLRP">#REF!</definedName>
    <definedName name="TRADE2">#REF!</definedName>
    <definedName name="TT_1P">#REF!</definedName>
    <definedName name="TT_3p">#REF!</definedName>
    <definedName name="ttronmk">#REF!</definedName>
    <definedName name="tv75nc">#REF!</definedName>
    <definedName name="tv75vl">#REF!</definedName>
    <definedName name="VARIINST">#REF!</definedName>
    <definedName name="VARIPURC">#REF!</definedName>
    <definedName name="VCHT">#REF!</definedName>
    <definedName name="VCTT">#REF!</definedName>
    <definedName name="vd3p">#REF!</definedName>
    <definedName name="vl1p">#REF!</definedName>
    <definedName name="vl3p">#REF!</definedName>
    <definedName name="vldn400">#REF!</definedName>
    <definedName name="vldn600">#REF!</definedName>
    <definedName name="vltram">#REF!</definedName>
    <definedName name="vr3p">#REF!</definedName>
    <definedName name="W" localSheetId="0">#REF!</definedName>
    <definedName name="W">#REF!</definedName>
    <definedName name="wrn.chi._.tiÆt." localSheetId="0" hidden="1">{#N/A,#N/A,FALSE,"Chi tiÆt"}</definedName>
    <definedName name="wrn.chi._.tiÆt." hidden="1">{#N/A,#N/A,FALSE,"Chi tiÆt"}</definedName>
    <definedName name="x" localSheetId="0">#REF!</definedName>
    <definedName name="X">#REF!</definedName>
    <definedName name="x1pind">#REF!</definedName>
    <definedName name="x1ping">#REF!</definedName>
    <definedName name="x1pint">#REF!</definedName>
    <definedName name="XCCT">0.5</definedName>
    <definedName name="xfco">#REF!</definedName>
    <definedName name="xfco3p">#REF!</definedName>
    <definedName name="xfcotnc">#REF!</definedName>
    <definedName name="xfcotvl">#REF!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g1p">#REF!</definedName>
    <definedName name="xingnc1p">#REF!</definedName>
    <definedName name="xingvl1p">#REF!</definedName>
    <definedName name="xinnc3p">#REF!</definedName>
    <definedName name="xint1p">#REF!</definedName>
    <definedName name="xinvl3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Z">#REF!</definedName>
    <definedName name="ZYX" localSheetId="0">#REF!</definedName>
    <definedName name="ZYX">#REF!</definedName>
    <definedName name="ZZZ" localSheetId="0">#REF!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0" i="20" l="1"/>
  <c r="Q20" i="20"/>
  <c r="P20" i="20"/>
  <c r="P8" i="20" s="1"/>
  <c r="O20" i="20"/>
  <c r="N20" i="20"/>
  <c r="M20" i="20"/>
  <c r="L20" i="20"/>
  <c r="K20" i="20"/>
  <c r="J20" i="20"/>
  <c r="I20" i="20"/>
  <c r="H20" i="20"/>
  <c r="G20" i="20"/>
  <c r="G8" i="20" s="1"/>
  <c r="F20" i="20"/>
  <c r="E20" i="20"/>
  <c r="D20" i="20"/>
  <c r="Q19" i="20"/>
  <c r="R19" i="20" s="1"/>
  <c r="R18" i="20"/>
  <c r="Q17" i="20"/>
  <c r="R17" i="20" s="1"/>
  <c r="Q16" i="20"/>
  <c r="R16" i="20" s="1"/>
  <c r="R15" i="20"/>
  <c r="R14" i="20"/>
  <c r="R13" i="20"/>
  <c r="Q12" i="20"/>
  <c r="Q9" i="20" s="1"/>
  <c r="Q8" i="20" s="1"/>
  <c r="R11" i="20"/>
  <c r="Q10" i="20"/>
  <c r="R10" i="20" s="1"/>
  <c r="P9" i="20"/>
  <c r="O9" i="20"/>
  <c r="N9" i="20"/>
  <c r="N8" i="20" s="1"/>
  <c r="M9" i="20"/>
  <c r="M8" i="20" s="1"/>
  <c r="L9" i="20"/>
  <c r="L8" i="20" s="1"/>
  <c r="K9" i="20"/>
  <c r="K8" i="20" s="1"/>
  <c r="J9" i="20"/>
  <c r="I9" i="20"/>
  <c r="H9" i="20"/>
  <c r="G9" i="20"/>
  <c r="F9" i="20"/>
  <c r="E9" i="20"/>
  <c r="D9" i="20"/>
  <c r="O8" i="20"/>
  <c r="C47" i="19"/>
  <c r="C43" i="19"/>
  <c r="C39" i="19"/>
  <c r="C34" i="19"/>
  <c r="C33" i="19"/>
  <c r="C32" i="19"/>
  <c r="C25" i="19"/>
  <c r="C20" i="19"/>
  <c r="C19" i="19" s="1"/>
  <c r="C18" i="19"/>
  <c r="C16" i="19" s="1"/>
  <c r="C12" i="19"/>
  <c r="C11" i="19"/>
  <c r="D8" i="20" l="1"/>
  <c r="E8" i="20"/>
  <c r="F8" i="20"/>
  <c r="H8" i="20"/>
  <c r="J8" i="20"/>
  <c r="I8" i="20"/>
  <c r="C15" i="19"/>
  <c r="C14" i="19" s="1"/>
  <c r="C31" i="19"/>
  <c r="C30" i="19" s="1"/>
  <c r="R12" i="20"/>
  <c r="R9" i="20" s="1"/>
  <c r="R8" i="20" s="1"/>
  <c r="I31" i="18"/>
  <c r="H31" i="18"/>
  <c r="G31" i="18"/>
  <c r="G30" i="18"/>
  <c r="C10" i="19" l="1"/>
  <c r="C8" i="19" s="1"/>
  <c r="C7" i="19" s="1"/>
  <c r="AD81" i="12"/>
  <c r="G42" i="18" l="1"/>
  <c r="G41" i="18"/>
  <c r="AC50" i="12" l="1"/>
  <c r="G57" i="12"/>
  <c r="H46" i="12" l="1"/>
  <c r="P56" i="17" l="1"/>
  <c r="H86" i="17" l="1"/>
  <c r="A3" i="14"/>
  <c r="A4" i="19" s="1"/>
  <c r="A4" i="20" s="1"/>
  <c r="A3" i="12"/>
  <c r="A3" i="10"/>
  <c r="A3" i="17"/>
  <c r="G90" i="17"/>
  <c r="I90" i="17" s="1"/>
  <c r="H89" i="17"/>
  <c r="G89" i="17"/>
  <c r="I89" i="17" s="1"/>
  <c r="D89" i="17"/>
  <c r="G87" i="17"/>
  <c r="J87" i="17" s="1"/>
  <c r="F86" i="17"/>
  <c r="E86" i="17"/>
  <c r="D86" i="17"/>
  <c r="C86" i="17"/>
  <c r="H84" i="17"/>
  <c r="H83" i="17" s="1"/>
  <c r="G84" i="17"/>
  <c r="F84" i="17"/>
  <c r="E84" i="17"/>
  <c r="D84" i="17"/>
  <c r="D83" i="17" s="1"/>
  <c r="C84" i="17"/>
  <c r="F82" i="17"/>
  <c r="F80" i="17" s="1"/>
  <c r="H80" i="17"/>
  <c r="G80" i="17"/>
  <c r="E80" i="17"/>
  <c r="E76" i="17" s="1"/>
  <c r="D80" i="17"/>
  <c r="C80" i="17"/>
  <c r="F79" i="17"/>
  <c r="F78" i="17"/>
  <c r="H77" i="17"/>
  <c r="G77" i="17"/>
  <c r="E77" i="17"/>
  <c r="D77" i="17"/>
  <c r="D76" i="17" s="1"/>
  <c r="C77" i="17"/>
  <c r="H73" i="17"/>
  <c r="G73" i="17"/>
  <c r="F73" i="17"/>
  <c r="E73" i="17"/>
  <c r="D73" i="17"/>
  <c r="C73" i="17"/>
  <c r="I72" i="17"/>
  <c r="G71" i="17"/>
  <c r="G70" i="17" s="1"/>
  <c r="F71" i="17"/>
  <c r="F70" i="17" s="1"/>
  <c r="F69" i="17" s="1"/>
  <c r="H70" i="17"/>
  <c r="E70" i="17"/>
  <c r="E69" i="17" s="1"/>
  <c r="D70" i="17"/>
  <c r="C70" i="17"/>
  <c r="H66" i="17"/>
  <c r="G66" i="17"/>
  <c r="F66" i="17"/>
  <c r="E66" i="17"/>
  <c r="D66" i="17"/>
  <c r="C66" i="17"/>
  <c r="G64" i="17"/>
  <c r="I64" i="17" s="1"/>
  <c r="E64" i="17"/>
  <c r="E63" i="17" s="1"/>
  <c r="H63" i="17"/>
  <c r="F63" i="17"/>
  <c r="D63" i="17"/>
  <c r="C63" i="17"/>
  <c r="E59" i="17"/>
  <c r="E56" i="17" s="1"/>
  <c r="J56" i="17"/>
  <c r="I56" i="17"/>
  <c r="G55" i="17"/>
  <c r="J55" i="17" s="1"/>
  <c r="G54" i="17"/>
  <c r="J54" i="17" s="1"/>
  <c r="G53" i="17"/>
  <c r="J53" i="17" s="1"/>
  <c r="F51" i="17"/>
  <c r="E51" i="17"/>
  <c r="F50" i="17"/>
  <c r="E50" i="17"/>
  <c r="G49" i="17"/>
  <c r="J49" i="17" s="1"/>
  <c r="G48" i="17"/>
  <c r="J48" i="17" s="1"/>
  <c r="G47" i="17"/>
  <c r="F46" i="17"/>
  <c r="G46" i="17" s="1"/>
  <c r="I46" i="17" s="1"/>
  <c r="E45" i="17"/>
  <c r="E40" i="17" s="1"/>
  <c r="G44" i="17"/>
  <c r="I44" i="17" s="1"/>
  <c r="G43" i="17"/>
  <c r="J43" i="17" s="1"/>
  <c r="G42" i="17"/>
  <c r="J42" i="17" s="1"/>
  <c r="G39" i="17"/>
  <c r="J39" i="17" s="1"/>
  <c r="E39" i="17"/>
  <c r="G38" i="17"/>
  <c r="J38" i="17" s="1"/>
  <c r="G37" i="17"/>
  <c r="J37" i="17" s="1"/>
  <c r="G36" i="17"/>
  <c r="J36" i="17" s="1"/>
  <c r="F35" i="17"/>
  <c r="E35" i="17"/>
  <c r="C35" i="17"/>
  <c r="F33" i="17"/>
  <c r="E33" i="17"/>
  <c r="G32" i="17"/>
  <c r="J32" i="17" s="1"/>
  <c r="G31" i="17"/>
  <c r="J31" i="17" s="1"/>
  <c r="G30" i="17"/>
  <c r="J30" i="17" s="1"/>
  <c r="G29" i="17"/>
  <c r="J29" i="17" s="1"/>
  <c r="G27" i="17"/>
  <c r="J27" i="17" s="1"/>
  <c r="G26" i="17"/>
  <c r="J26" i="17" s="1"/>
  <c r="G25" i="17"/>
  <c r="J25" i="17" s="1"/>
  <c r="G24" i="17"/>
  <c r="J24" i="17" s="1"/>
  <c r="G23" i="17"/>
  <c r="J23" i="17" s="1"/>
  <c r="G22" i="17"/>
  <c r="J22" i="17" s="1"/>
  <c r="F20" i="17"/>
  <c r="E20" i="17"/>
  <c r="E19" i="17" s="1"/>
  <c r="D20" i="17"/>
  <c r="F19" i="17"/>
  <c r="C19" i="17"/>
  <c r="C16" i="17" s="1"/>
  <c r="E18" i="17"/>
  <c r="F17" i="17"/>
  <c r="E17" i="17"/>
  <c r="G17" i="17" s="1"/>
  <c r="K15" i="17"/>
  <c r="J15" i="17"/>
  <c r="I15" i="17"/>
  <c r="I13" i="17"/>
  <c r="E13" i="17"/>
  <c r="G12" i="17"/>
  <c r="J12" i="17" s="1"/>
  <c r="E12" i="17"/>
  <c r="F11" i="17"/>
  <c r="D11" i="17"/>
  <c r="C11" i="17"/>
  <c r="M9" i="17"/>
  <c r="G43" i="18"/>
  <c r="I41" i="18"/>
  <c r="H41" i="18"/>
  <c r="I40" i="18"/>
  <c r="H40" i="18"/>
  <c r="G40" i="18"/>
  <c r="F39" i="18"/>
  <c r="E39" i="18"/>
  <c r="D39" i="18"/>
  <c r="D37" i="18" s="1"/>
  <c r="C39" i="18"/>
  <c r="C37" i="18" s="1"/>
  <c r="I38" i="18"/>
  <c r="I36" i="18"/>
  <c r="H36" i="18"/>
  <c r="G36" i="18"/>
  <c r="I35" i="18"/>
  <c r="H35" i="18"/>
  <c r="G35" i="18"/>
  <c r="F34" i="18"/>
  <c r="D34" i="18"/>
  <c r="H34" i="18" s="1"/>
  <c r="C34" i="18"/>
  <c r="G34" i="18" s="1"/>
  <c r="I33" i="18"/>
  <c r="H33" i="18"/>
  <c r="G33" i="18"/>
  <c r="I32" i="18"/>
  <c r="H32" i="18"/>
  <c r="G32" i="18"/>
  <c r="I30" i="18"/>
  <c r="H30" i="18"/>
  <c r="I29" i="18"/>
  <c r="H29" i="18"/>
  <c r="G29" i="18"/>
  <c r="F28" i="18"/>
  <c r="E28" i="18"/>
  <c r="D28" i="18"/>
  <c r="C28" i="18"/>
  <c r="G28" i="18" s="1"/>
  <c r="I27" i="18"/>
  <c r="H27" i="18"/>
  <c r="G27" i="18"/>
  <c r="I26" i="18"/>
  <c r="H26" i="18"/>
  <c r="G26" i="18"/>
  <c r="I25" i="18"/>
  <c r="H25" i="18"/>
  <c r="G25" i="18"/>
  <c r="I24" i="18"/>
  <c r="H24" i="18"/>
  <c r="G24" i="18"/>
  <c r="I23" i="18"/>
  <c r="H23" i="18"/>
  <c r="G23" i="18"/>
  <c r="E19" i="18"/>
  <c r="E18" i="18" s="1"/>
  <c r="D19" i="18"/>
  <c r="D18" i="18" s="1"/>
  <c r="C19" i="18"/>
  <c r="C18" i="18" s="1"/>
  <c r="F18" i="18"/>
  <c r="I17" i="18"/>
  <c r="H17" i="18"/>
  <c r="G17" i="18"/>
  <c r="I16" i="18"/>
  <c r="E16" i="18"/>
  <c r="H16" i="18" s="1"/>
  <c r="I15" i="18"/>
  <c r="E15" i="18"/>
  <c r="F14" i="18"/>
  <c r="D14" i="18"/>
  <c r="C14" i="18"/>
  <c r="G13" i="18"/>
  <c r="G12" i="18"/>
  <c r="G11" i="18"/>
  <c r="F10" i="18"/>
  <c r="E10" i="18"/>
  <c r="D10" i="18"/>
  <c r="C10" i="18"/>
  <c r="AC57" i="12"/>
  <c r="H44" i="12"/>
  <c r="H43" i="12" s="1"/>
  <c r="S22" i="12"/>
  <c r="D32" i="12"/>
  <c r="F21" i="12"/>
  <c r="G21" i="12"/>
  <c r="H21" i="12"/>
  <c r="J21" i="12"/>
  <c r="E21" i="12"/>
  <c r="AC81" i="12"/>
  <c r="AC48" i="12"/>
  <c r="AC43" i="12" s="1"/>
  <c r="H26" i="10"/>
  <c r="H28" i="10" s="1"/>
  <c r="G26" i="10"/>
  <c r="AD12" i="12" s="1"/>
  <c r="F26" i="10"/>
  <c r="AB12" i="12" s="1"/>
  <c r="I28" i="10"/>
  <c r="G28" i="10"/>
  <c r="F28" i="10"/>
  <c r="Y40" i="12"/>
  <c r="Y39" i="12"/>
  <c r="Y41" i="12"/>
  <c r="U33" i="12"/>
  <c r="U21" i="12" s="1"/>
  <c r="T33" i="12"/>
  <c r="T21" i="12" s="1"/>
  <c r="G20" i="17" l="1"/>
  <c r="J20" i="17" s="1"/>
  <c r="E14" i="18"/>
  <c r="C76" i="17"/>
  <c r="G50" i="17"/>
  <c r="I28" i="18"/>
  <c r="G51" i="17"/>
  <c r="G33" i="17"/>
  <c r="I43" i="17"/>
  <c r="E83" i="17"/>
  <c r="E11" i="17"/>
  <c r="F77" i="17"/>
  <c r="G35" i="17"/>
  <c r="F62" i="17"/>
  <c r="G86" i="17"/>
  <c r="J86" i="17" s="1"/>
  <c r="C10" i="17"/>
  <c r="I36" i="17"/>
  <c r="D19" i="17"/>
  <c r="D16" i="17" s="1"/>
  <c r="G45" i="17"/>
  <c r="I55" i="17"/>
  <c r="G76" i="17"/>
  <c r="H76" i="17"/>
  <c r="F83" i="17"/>
  <c r="F40" i="17"/>
  <c r="G40" i="17" s="1"/>
  <c r="H62" i="17"/>
  <c r="C62" i="17"/>
  <c r="F76" i="17"/>
  <c r="F61" i="17" s="1"/>
  <c r="C69" i="17"/>
  <c r="I39" i="18"/>
  <c r="F37" i="18"/>
  <c r="I37" i="18" s="1"/>
  <c r="J51" i="17"/>
  <c r="I51" i="17"/>
  <c r="J17" i="17"/>
  <c r="I17" i="17"/>
  <c r="D10" i="17"/>
  <c r="I49" i="17"/>
  <c r="G10" i="18"/>
  <c r="D69" i="17"/>
  <c r="I87" i="17"/>
  <c r="G19" i="17"/>
  <c r="I19" i="17" s="1"/>
  <c r="I42" i="17"/>
  <c r="J44" i="17"/>
  <c r="G63" i="17"/>
  <c r="I14" i="18"/>
  <c r="J13" i="17"/>
  <c r="I53" i="17"/>
  <c r="F9" i="18"/>
  <c r="F4" i="18" s="1"/>
  <c r="D62" i="17"/>
  <c r="H39" i="18"/>
  <c r="E16" i="17"/>
  <c r="E10" i="17" s="1"/>
  <c r="E9" i="17" s="1"/>
  <c r="I35" i="17"/>
  <c r="I38" i="17"/>
  <c r="I54" i="17"/>
  <c r="C83" i="17"/>
  <c r="I37" i="17"/>
  <c r="G18" i="17"/>
  <c r="J18" i="17" s="1"/>
  <c r="I48" i="17"/>
  <c r="D9" i="18"/>
  <c r="I18" i="18"/>
  <c r="C9" i="18"/>
  <c r="H28" i="18"/>
  <c r="E62" i="17"/>
  <c r="E61" i="17" s="1"/>
  <c r="H69" i="17"/>
  <c r="J50" i="17"/>
  <c r="I50" i="17"/>
  <c r="I70" i="17"/>
  <c r="G69" i="17"/>
  <c r="I33" i="17"/>
  <c r="J33" i="17"/>
  <c r="I12" i="17"/>
  <c r="I20" i="17"/>
  <c r="I22" i="17"/>
  <c r="I23" i="17"/>
  <c r="I24" i="17"/>
  <c r="I25" i="17"/>
  <c r="I26" i="17"/>
  <c r="I27" i="17"/>
  <c r="I29" i="17"/>
  <c r="I30" i="17"/>
  <c r="I31" i="17"/>
  <c r="I32" i="17"/>
  <c r="I39" i="17"/>
  <c r="I71" i="17"/>
  <c r="G11" i="17"/>
  <c r="G83" i="17"/>
  <c r="G18" i="18"/>
  <c r="H18" i="18"/>
  <c r="E9" i="18"/>
  <c r="E38" i="18" s="1"/>
  <c r="H14" i="18"/>
  <c r="G14" i="18"/>
  <c r="G15" i="18"/>
  <c r="G16" i="18"/>
  <c r="H15" i="18"/>
  <c r="G39" i="18"/>
  <c r="I34" i="18"/>
  <c r="C61" i="17" l="1"/>
  <c r="C9" i="17" s="1"/>
  <c r="C4" i="17" s="1"/>
  <c r="I86" i="17"/>
  <c r="I40" i="17"/>
  <c r="J40" i="17"/>
  <c r="J45" i="17"/>
  <c r="I45" i="17"/>
  <c r="I18" i="17"/>
  <c r="J19" i="17"/>
  <c r="H61" i="17"/>
  <c r="G16" i="17"/>
  <c r="G10" i="17" s="1"/>
  <c r="F16" i="17"/>
  <c r="F10" i="17" s="1"/>
  <c r="F9" i="17" s="1"/>
  <c r="I9" i="18"/>
  <c r="G62" i="17"/>
  <c r="I62" i="17" s="1"/>
  <c r="I63" i="17"/>
  <c r="D61" i="17"/>
  <c r="D9" i="17" s="1"/>
  <c r="D4" i="17" s="1"/>
  <c r="I11" i="17"/>
  <c r="J11" i="17"/>
  <c r="I83" i="17"/>
  <c r="J83" i="17"/>
  <c r="I69" i="17"/>
  <c r="H9" i="18"/>
  <c r="G9" i="18"/>
  <c r="J16" i="17" l="1"/>
  <c r="G61" i="17"/>
  <c r="I61" i="17" s="1"/>
  <c r="I16" i="17"/>
  <c r="I10" i="17"/>
  <c r="J10" i="17"/>
  <c r="G38" i="18"/>
  <c r="H38" i="18"/>
  <c r="E37" i="18"/>
  <c r="G9" i="17" l="1"/>
  <c r="J9" i="17"/>
  <c r="G4" i="17"/>
  <c r="I9" i="17"/>
  <c r="G37" i="18"/>
  <c r="H37" i="18"/>
  <c r="L57" i="12" l="1"/>
  <c r="J42" i="12"/>
  <c r="F67" i="12"/>
  <c r="E62" i="12"/>
  <c r="C26" i="14"/>
  <c r="J53" i="12" l="1"/>
  <c r="C28" i="14" l="1"/>
  <c r="AD19" i="12" s="1"/>
  <c r="Z19" i="12"/>
  <c r="C32" i="14" l="1"/>
  <c r="AD40" i="12" s="1"/>
  <c r="C29" i="14"/>
  <c r="I14" i="14"/>
  <c r="I22" i="14" l="1"/>
  <c r="C36" i="10" l="1"/>
  <c r="C28" i="10"/>
  <c r="C20" i="10"/>
  <c r="C35" i="10" s="1"/>
  <c r="C33" i="10" s="1"/>
  <c r="F33" i="10" s="1"/>
  <c r="C19" i="10"/>
  <c r="C17" i="10"/>
  <c r="C10" i="10"/>
  <c r="C8" i="10"/>
  <c r="C7" i="10" l="1"/>
  <c r="E33" i="10" s="1"/>
  <c r="C32" i="10"/>
  <c r="E32" i="10" s="1"/>
  <c r="I57" i="12" l="1"/>
  <c r="D83" i="12"/>
  <c r="C83" i="12" s="1"/>
  <c r="AB44" i="12"/>
  <c r="AB43" i="12" s="1"/>
  <c r="J50" i="12"/>
  <c r="S81" i="12"/>
  <c r="D81" i="12" s="1"/>
  <c r="C81" i="12" s="1"/>
  <c r="D17" i="12"/>
  <c r="C17" i="12" s="1"/>
  <c r="AA15" i="12"/>
  <c r="X50" i="12"/>
  <c r="W50" i="12"/>
  <c r="R57" i="12"/>
  <c r="Q57" i="12"/>
  <c r="O57" i="12"/>
  <c r="N57" i="12"/>
  <c r="M51" i="12"/>
  <c r="M50" i="12" s="1"/>
  <c r="K57" i="12"/>
  <c r="K56" i="12" s="1"/>
  <c r="J57" i="12"/>
  <c r="S23" i="12"/>
  <c r="I33" i="12"/>
  <c r="I21" i="12" s="1"/>
  <c r="K33" i="12"/>
  <c r="K21" i="12" s="1"/>
  <c r="L33" i="12"/>
  <c r="L21" i="12" s="1"/>
  <c r="M33" i="12"/>
  <c r="M21" i="12" s="1"/>
  <c r="N33" i="12"/>
  <c r="N21" i="12" s="1"/>
  <c r="O33" i="12"/>
  <c r="O21" i="12" s="1"/>
  <c r="P33" i="12"/>
  <c r="P21" i="12" s="1"/>
  <c r="Q33" i="12"/>
  <c r="Q21" i="12" s="1"/>
  <c r="R33" i="12"/>
  <c r="R21" i="12" s="1"/>
  <c r="S33" i="12"/>
  <c r="S21" i="12" s="1"/>
  <c r="V33" i="12"/>
  <c r="V21" i="12" s="1"/>
  <c r="W33" i="12"/>
  <c r="W21" i="12" s="1"/>
  <c r="X33" i="12"/>
  <c r="X21" i="12" s="1"/>
  <c r="Y33" i="12"/>
  <c r="Y21" i="12" s="1"/>
  <c r="Z33" i="12"/>
  <c r="Z21" i="12" s="1"/>
  <c r="AA33" i="12"/>
  <c r="AA21" i="12" s="1"/>
  <c r="AB33" i="12"/>
  <c r="AB21" i="12" s="1"/>
  <c r="AC33" i="12"/>
  <c r="AC21" i="12" s="1"/>
  <c r="E44" i="12"/>
  <c r="F44" i="12"/>
  <c r="G44" i="12"/>
  <c r="I44" i="12"/>
  <c r="J44" i="12"/>
  <c r="J43" i="12" s="1"/>
  <c r="K44" i="12"/>
  <c r="L44" i="12"/>
  <c r="M44" i="12"/>
  <c r="N44" i="12"/>
  <c r="O44" i="12"/>
  <c r="P44" i="12"/>
  <c r="Q44" i="12"/>
  <c r="R44" i="12"/>
  <c r="S44" i="12"/>
  <c r="T44" i="12"/>
  <c r="U44" i="12"/>
  <c r="V44" i="12"/>
  <c r="W44" i="12"/>
  <c r="W43" i="12" s="1"/>
  <c r="X44" i="12"/>
  <c r="Y44" i="12"/>
  <c r="Z44" i="12"/>
  <c r="AA44" i="12"/>
  <c r="H57" i="12"/>
  <c r="E63" i="12"/>
  <c r="F68" i="12"/>
  <c r="F66" i="12"/>
  <c r="F65" i="12"/>
  <c r="F64" i="12"/>
  <c r="F63" i="12" s="1"/>
  <c r="F56" i="12" s="1"/>
  <c r="F14" i="12" s="1"/>
  <c r="F70" i="12"/>
  <c r="F69" i="12" s="1"/>
  <c r="H69" i="12"/>
  <c r="I69" i="12"/>
  <c r="J69" i="12"/>
  <c r="K69" i="12"/>
  <c r="L69" i="12"/>
  <c r="L56" i="12" s="1"/>
  <c r="M69" i="12"/>
  <c r="M56" i="12" s="1"/>
  <c r="N69" i="12"/>
  <c r="O69" i="12"/>
  <c r="O56" i="12" s="1"/>
  <c r="P69" i="12"/>
  <c r="P56" i="12" s="1"/>
  <c r="Q69" i="12"/>
  <c r="Q56" i="12" s="1"/>
  <c r="R69" i="12"/>
  <c r="S69" i="12"/>
  <c r="S56" i="12" s="1"/>
  <c r="T69" i="12"/>
  <c r="T56" i="12" s="1"/>
  <c r="T14" i="12" s="1"/>
  <c r="U69" i="12"/>
  <c r="U56" i="12" s="1"/>
  <c r="U14" i="12" s="1"/>
  <c r="V69" i="12"/>
  <c r="V56" i="12" s="1"/>
  <c r="W69" i="12"/>
  <c r="W56" i="12" s="1"/>
  <c r="X69" i="12"/>
  <c r="X56" i="12" s="1"/>
  <c r="Y69" i="12"/>
  <c r="Y56" i="12" s="1"/>
  <c r="Z69" i="12"/>
  <c r="Z56" i="12" s="1"/>
  <c r="AA69" i="12"/>
  <c r="AA56" i="12" s="1"/>
  <c r="AB69" i="12"/>
  <c r="AB56" i="12" s="1"/>
  <c r="AC69" i="12"/>
  <c r="AC56" i="12" s="1"/>
  <c r="AD69" i="12"/>
  <c r="E69" i="12"/>
  <c r="G71" i="12"/>
  <c r="G69" i="12" s="1"/>
  <c r="G56" i="12" s="1"/>
  <c r="G14" i="12" s="1"/>
  <c r="S27" i="12"/>
  <c r="D27" i="12" s="1"/>
  <c r="H56" i="12" l="1"/>
  <c r="H14" i="12" s="1"/>
  <c r="R56" i="12"/>
  <c r="J56" i="12"/>
  <c r="N56" i="12"/>
  <c r="N14" i="12" s="1"/>
  <c r="E56" i="12"/>
  <c r="E14" i="12" s="1"/>
  <c r="J14" i="12"/>
  <c r="Z14" i="12"/>
  <c r="Y14" i="12"/>
  <c r="O14" i="12"/>
  <c r="AA14" i="12"/>
  <c r="AB14" i="12"/>
  <c r="W14" i="12"/>
  <c r="L14" i="12"/>
  <c r="R14" i="12"/>
  <c r="AC14" i="12"/>
  <c r="S14" i="12"/>
  <c r="K14" i="12"/>
  <c r="I56" i="12"/>
  <c r="I14" i="12" s="1"/>
  <c r="D50" i="12"/>
  <c r="D69" i="12"/>
  <c r="D20" i="12" l="1"/>
  <c r="C20" i="12" s="1"/>
  <c r="D18" i="12"/>
  <c r="C18" i="12" s="1"/>
  <c r="D16" i="12"/>
  <c r="C16" i="12" s="1"/>
  <c r="C30" i="14"/>
  <c r="AD21" i="12" s="1"/>
  <c r="C25" i="14"/>
  <c r="AE7" i="12"/>
  <c r="D60" i="12"/>
  <c r="C60" i="12" s="1"/>
  <c r="D61" i="12"/>
  <c r="C61" i="12" s="1"/>
  <c r="AE84" i="12"/>
  <c r="AE14" i="12"/>
  <c r="AE9" i="12"/>
  <c r="D34" i="12"/>
  <c r="C34" i="12" s="1"/>
  <c r="H29" i="17" s="1"/>
  <c r="K29" i="17" s="1"/>
  <c r="D35" i="12"/>
  <c r="C35" i="12" s="1"/>
  <c r="H30" i="17" s="1"/>
  <c r="K30" i="17" s="1"/>
  <c r="D36" i="12"/>
  <c r="C36" i="12" s="1"/>
  <c r="H31" i="17" s="1"/>
  <c r="K31" i="17" s="1"/>
  <c r="D33" i="12"/>
  <c r="C33" i="12" s="1"/>
  <c r="H27" i="17" s="1"/>
  <c r="D39" i="12"/>
  <c r="V39" i="14"/>
  <c r="U39" i="14"/>
  <c r="T39" i="14"/>
  <c r="S39" i="14"/>
  <c r="R39" i="14"/>
  <c r="Q39" i="14"/>
  <c r="P39" i="14"/>
  <c r="O39" i="14"/>
  <c r="N39" i="14"/>
  <c r="M39" i="14"/>
  <c r="L39" i="14"/>
  <c r="K39" i="14"/>
  <c r="J39" i="14"/>
  <c r="I39" i="14"/>
  <c r="H39" i="14"/>
  <c r="G39" i="14"/>
  <c r="F39" i="14"/>
  <c r="E39" i="14"/>
  <c r="D39" i="14"/>
  <c r="C37" i="14"/>
  <c r="C36" i="14"/>
  <c r="C35" i="14"/>
  <c r="C40" i="14"/>
  <c r="AD75" i="12" s="1"/>
  <c r="C31" i="14"/>
  <c r="AD39" i="12" s="1"/>
  <c r="C27" i="14"/>
  <c r="V21" i="14"/>
  <c r="U21" i="14"/>
  <c r="T21" i="14"/>
  <c r="S21" i="14"/>
  <c r="R21" i="14"/>
  <c r="Q21" i="14"/>
  <c r="P21" i="14"/>
  <c r="O21" i="14"/>
  <c r="N21" i="14"/>
  <c r="M21" i="14"/>
  <c r="L21" i="14"/>
  <c r="K21" i="14"/>
  <c r="J21" i="14"/>
  <c r="H21" i="14"/>
  <c r="G21" i="14"/>
  <c r="F21" i="14"/>
  <c r="E21" i="14"/>
  <c r="D21" i="14"/>
  <c r="C19" i="14"/>
  <c r="C16" i="14"/>
  <c r="C15" i="14"/>
  <c r="C14" i="14"/>
  <c r="C13" i="14"/>
  <c r="C12" i="14"/>
  <c r="C11" i="14"/>
  <c r="C10" i="14"/>
  <c r="C9" i="14"/>
  <c r="C8" i="14"/>
  <c r="V7" i="14"/>
  <c r="U7" i="14"/>
  <c r="T7" i="14"/>
  <c r="S7" i="14"/>
  <c r="R7" i="14"/>
  <c r="Q7" i="14"/>
  <c r="P7" i="14"/>
  <c r="O7" i="14"/>
  <c r="N7" i="14"/>
  <c r="M7" i="14"/>
  <c r="L7" i="14"/>
  <c r="K7" i="14"/>
  <c r="J7" i="14"/>
  <c r="H7" i="14"/>
  <c r="G7" i="14"/>
  <c r="F7" i="14"/>
  <c r="E7" i="14"/>
  <c r="D7" i="14"/>
  <c r="P75" i="12"/>
  <c r="P14" i="12" s="1"/>
  <c r="AD11" i="12"/>
  <c r="AD9" i="12" s="1"/>
  <c r="D62" i="12"/>
  <c r="C62" i="12" s="1"/>
  <c r="M43" i="12"/>
  <c r="M14" i="12" s="1"/>
  <c r="Q75" i="12"/>
  <c r="Q14" i="12" s="1"/>
  <c r="D23" i="12"/>
  <c r="C23" i="12" s="1"/>
  <c r="H22" i="17" s="1"/>
  <c r="K22" i="17" s="1"/>
  <c r="D41" i="12"/>
  <c r="C41" i="12" s="1"/>
  <c r="H38" i="17" s="1"/>
  <c r="K38" i="17" s="1"/>
  <c r="D40" i="12"/>
  <c r="C40" i="12" s="1"/>
  <c r="H37" i="17" s="1"/>
  <c r="K37" i="17" s="1"/>
  <c r="Z86" i="12"/>
  <c r="Z85" i="12" s="1"/>
  <c r="X43" i="12"/>
  <c r="X14" i="12" s="1"/>
  <c r="D71" i="12"/>
  <c r="C71" i="12" s="1"/>
  <c r="D68" i="12"/>
  <c r="C68" i="12" s="1"/>
  <c r="D66" i="12"/>
  <c r="C66" i="12" s="1"/>
  <c r="D65" i="12"/>
  <c r="C65" i="12" s="1"/>
  <c r="D64" i="12"/>
  <c r="C64" i="12" s="1"/>
  <c r="D12" i="12"/>
  <c r="C12" i="12" s="1"/>
  <c r="D87" i="12"/>
  <c r="D86" i="12" s="1"/>
  <c r="D24" i="12"/>
  <c r="C24" i="12" s="1"/>
  <c r="D25" i="12"/>
  <c r="C25" i="12" s="1"/>
  <c r="D26" i="12"/>
  <c r="C26" i="12" s="1"/>
  <c r="D79" i="12"/>
  <c r="C79" i="12" s="1"/>
  <c r="D78" i="12"/>
  <c r="C78" i="12" s="1"/>
  <c r="H55" i="17" s="1"/>
  <c r="D77" i="12"/>
  <c r="C77" i="12" s="1"/>
  <c r="H54" i="17" s="1"/>
  <c r="K54" i="17" s="1"/>
  <c r="D76" i="12"/>
  <c r="D74" i="12"/>
  <c r="C74" i="12" s="1"/>
  <c r="D73" i="12"/>
  <c r="C73" i="12" s="1"/>
  <c r="D72" i="12"/>
  <c r="C72" i="12" s="1"/>
  <c r="D59" i="12"/>
  <c r="C59" i="12" s="1"/>
  <c r="D58" i="12"/>
  <c r="C58" i="12" s="1"/>
  <c r="D55" i="12"/>
  <c r="C55" i="12" s="1"/>
  <c r="H49" i="17" s="1"/>
  <c r="K49" i="17" s="1"/>
  <c r="D54" i="12"/>
  <c r="C54" i="12" s="1"/>
  <c r="H48" i="17" s="1"/>
  <c r="K48" i="17" s="1"/>
  <c r="D53" i="12"/>
  <c r="C53" i="12" s="1"/>
  <c r="D51" i="12"/>
  <c r="C51" i="12" s="1"/>
  <c r="D49" i="12"/>
  <c r="C49" i="12" s="1"/>
  <c r="H44" i="17" s="1"/>
  <c r="K44" i="17" s="1"/>
  <c r="D46" i="12"/>
  <c r="C46" i="12" s="1"/>
  <c r="H43" i="17" s="1"/>
  <c r="K43" i="17" s="1"/>
  <c r="D45" i="12"/>
  <c r="C45" i="12" s="1"/>
  <c r="H42" i="17" s="1"/>
  <c r="K42" i="17" s="1"/>
  <c r="V43" i="12"/>
  <c r="V14" i="12" s="1"/>
  <c r="D42" i="12"/>
  <c r="C42" i="12" s="1"/>
  <c r="H39" i="17" s="1"/>
  <c r="K39" i="17" s="1"/>
  <c r="D38" i="12"/>
  <c r="C38" i="12" s="1"/>
  <c r="H33" i="17" s="1"/>
  <c r="K33" i="17" s="1"/>
  <c r="D37" i="12"/>
  <c r="C37" i="12" s="1"/>
  <c r="H32" i="17" s="1"/>
  <c r="K32" i="17" s="1"/>
  <c r="D31" i="12"/>
  <c r="C31" i="12" s="1"/>
  <c r="H25" i="17" s="1"/>
  <c r="K25" i="17" s="1"/>
  <c r="C32" i="12"/>
  <c r="H26" i="17" s="1"/>
  <c r="K26" i="17" s="1"/>
  <c r="D29" i="12"/>
  <c r="C29" i="12" s="1"/>
  <c r="D28" i="12"/>
  <c r="C28" i="12" s="1"/>
  <c r="C27" i="12"/>
  <c r="H23" i="17" s="1"/>
  <c r="K23" i="17" s="1"/>
  <c r="D30" i="12"/>
  <c r="C30" i="12" s="1"/>
  <c r="H24" i="17" s="1"/>
  <c r="K24" i="17" s="1"/>
  <c r="D19" i="12"/>
  <c r="C19" i="12" s="1"/>
  <c r="H18" i="17" s="1"/>
  <c r="K18" i="17" s="1"/>
  <c r="AC11" i="12"/>
  <c r="AC9" i="12" s="1"/>
  <c r="AA11" i="12"/>
  <c r="AA9" i="12" s="1"/>
  <c r="Z11" i="12"/>
  <c r="Z9" i="12" s="1"/>
  <c r="Y11" i="12"/>
  <c r="Y9" i="12" s="1"/>
  <c r="X11" i="12"/>
  <c r="X9" i="12" s="1"/>
  <c r="W11" i="12"/>
  <c r="W9" i="12" s="1"/>
  <c r="V11" i="12"/>
  <c r="V9" i="12" s="1"/>
  <c r="U11" i="12"/>
  <c r="U9" i="12" s="1"/>
  <c r="T11" i="12"/>
  <c r="T9" i="12" s="1"/>
  <c r="T8" i="12" s="1"/>
  <c r="T7" i="12" s="1"/>
  <c r="S11" i="12"/>
  <c r="S9" i="12" s="1"/>
  <c r="R11" i="12"/>
  <c r="R9" i="12" s="1"/>
  <c r="Q11" i="12"/>
  <c r="Q9" i="12" s="1"/>
  <c r="P11" i="12"/>
  <c r="P9" i="12" s="1"/>
  <c r="O11" i="12"/>
  <c r="O9" i="12" s="1"/>
  <c r="N11" i="12"/>
  <c r="N9" i="12" s="1"/>
  <c r="M11" i="12"/>
  <c r="M9" i="12" s="1"/>
  <c r="L11" i="12"/>
  <c r="L9" i="12" s="1"/>
  <c r="K11" i="12"/>
  <c r="K9" i="12" s="1"/>
  <c r="J11" i="12"/>
  <c r="J9" i="12" s="1"/>
  <c r="I11" i="12"/>
  <c r="I9" i="12" s="1"/>
  <c r="I8" i="12" s="1"/>
  <c r="I7" i="12" s="1"/>
  <c r="H11" i="12"/>
  <c r="H9" i="12" s="1"/>
  <c r="G11" i="12"/>
  <c r="G9" i="12" s="1"/>
  <c r="F11" i="12"/>
  <c r="F9" i="12" s="1"/>
  <c r="E11" i="12"/>
  <c r="E9" i="12" s="1"/>
  <c r="D10" i="12"/>
  <c r="C10" i="12" s="1"/>
  <c r="H12" i="17" s="1"/>
  <c r="D47" i="12"/>
  <c r="C47" i="12" s="1"/>
  <c r="D80" i="12"/>
  <c r="C80" i="12" s="1"/>
  <c r="D82" i="12"/>
  <c r="D15" i="12"/>
  <c r="H56" i="17"/>
  <c r="K56" i="17" s="1"/>
  <c r="D22" i="12"/>
  <c r="O34" i="14" l="1"/>
  <c r="O38" i="14"/>
  <c r="D38" i="14"/>
  <c r="D34" i="14"/>
  <c r="D23" i="14" s="1"/>
  <c r="P34" i="14"/>
  <c r="P38" i="14"/>
  <c r="E34" i="14"/>
  <c r="E38" i="14"/>
  <c r="Q34" i="14"/>
  <c r="Q38" i="14"/>
  <c r="F34" i="14"/>
  <c r="F38" i="14"/>
  <c r="G34" i="14"/>
  <c r="G23" i="14" s="1"/>
  <c r="G43" i="14" s="1"/>
  <c r="G38" i="14"/>
  <c r="S34" i="14"/>
  <c r="S38" i="14"/>
  <c r="H38" i="14"/>
  <c r="H34" i="14"/>
  <c r="H23" i="14" s="1"/>
  <c r="T38" i="14"/>
  <c r="T34" i="14"/>
  <c r="C82" i="12"/>
  <c r="H58" i="17" s="1"/>
  <c r="I38" i="14"/>
  <c r="I34" i="14"/>
  <c r="U38" i="14"/>
  <c r="U34" i="14"/>
  <c r="J38" i="14"/>
  <c r="J34" i="14"/>
  <c r="V38" i="14"/>
  <c r="V34" i="14"/>
  <c r="V23" i="14" s="1"/>
  <c r="V41" i="14" s="1"/>
  <c r="V20" i="14" s="1"/>
  <c r="V18" i="14" s="1"/>
  <c r="V17" i="14" s="1"/>
  <c r="V6" i="14" s="1"/>
  <c r="R34" i="14"/>
  <c r="R38" i="14"/>
  <c r="K38" i="14"/>
  <c r="K34" i="14"/>
  <c r="M38" i="14"/>
  <c r="M34" i="14"/>
  <c r="L38" i="14"/>
  <c r="L34" i="14"/>
  <c r="N38" i="14"/>
  <c r="N34" i="14"/>
  <c r="K27" i="17"/>
  <c r="C22" i="12"/>
  <c r="H20" i="17" s="1"/>
  <c r="K20" i="17" s="1"/>
  <c r="D21" i="12"/>
  <c r="C21" i="12" s="1"/>
  <c r="K12" i="17"/>
  <c r="H43" i="14"/>
  <c r="C39" i="12"/>
  <c r="H36" i="17" s="1"/>
  <c r="K36" i="17" s="1"/>
  <c r="U8" i="12"/>
  <c r="U7" i="12" s="1"/>
  <c r="C7" i="14"/>
  <c r="S8" i="12"/>
  <c r="S7" i="12" s="1"/>
  <c r="C87" i="12"/>
  <c r="N8" i="12"/>
  <c r="N7" i="12" s="1"/>
  <c r="C86" i="12"/>
  <c r="D85" i="12"/>
  <c r="C85" i="12" s="1"/>
  <c r="AF85" i="12" s="1"/>
  <c r="D75" i="12"/>
  <c r="C75" i="12" s="1"/>
  <c r="H51" i="17" s="1"/>
  <c r="K51" i="17" s="1"/>
  <c r="L8" i="12"/>
  <c r="L7" i="12" s="1"/>
  <c r="E8" i="12"/>
  <c r="E7" i="12" s="1"/>
  <c r="D48" i="12"/>
  <c r="C48" i="12" s="1"/>
  <c r="D44" i="12"/>
  <c r="C44" i="12" s="1"/>
  <c r="Z8" i="12"/>
  <c r="Z7" i="12" s="1"/>
  <c r="Q8" i="12"/>
  <c r="Q7" i="12" s="1"/>
  <c r="I7" i="14"/>
  <c r="AA8" i="12"/>
  <c r="AA7" i="12" s="1"/>
  <c r="C39" i="14"/>
  <c r="C76" i="12"/>
  <c r="H53" i="17" s="1"/>
  <c r="K53" i="17" s="1"/>
  <c r="V8" i="12"/>
  <c r="V7" i="12" s="1"/>
  <c r="M8" i="12"/>
  <c r="M7" i="12" s="1"/>
  <c r="P8" i="12"/>
  <c r="P7" i="12" s="1"/>
  <c r="C33" i="14"/>
  <c r="AD50" i="12" s="1"/>
  <c r="AD43" i="12" s="1"/>
  <c r="O8" i="12"/>
  <c r="O7" i="12" s="1"/>
  <c r="Y8" i="12"/>
  <c r="Y7" i="12" s="1"/>
  <c r="H8" i="12"/>
  <c r="H7" i="12" s="1"/>
  <c r="D70" i="12"/>
  <c r="C70" i="12" s="1"/>
  <c r="X8" i="12"/>
  <c r="X7" i="12" s="1"/>
  <c r="G8" i="12"/>
  <c r="G7" i="12" s="1"/>
  <c r="K8" i="12"/>
  <c r="K7" i="12" s="1"/>
  <c r="R8" i="12"/>
  <c r="R7" i="12" s="1"/>
  <c r="D67" i="12"/>
  <c r="C67" i="12" s="1"/>
  <c r="D52" i="12"/>
  <c r="C52" i="12" s="1"/>
  <c r="H45" i="17" s="1"/>
  <c r="K45" i="17" s="1"/>
  <c r="W8" i="12"/>
  <c r="W7" i="12" s="1"/>
  <c r="D43" i="14"/>
  <c r="D57" i="12"/>
  <c r="C24" i="14"/>
  <c r="AD15" i="12" s="1"/>
  <c r="S23" i="14" l="1"/>
  <c r="E23" i="14"/>
  <c r="E41" i="14" s="1"/>
  <c r="R23" i="14"/>
  <c r="R41" i="14" s="1"/>
  <c r="R20" i="14" s="1"/>
  <c r="R18" i="14" s="1"/>
  <c r="R17" i="14" s="1"/>
  <c r="R6" i="14" s="1"/>
  <c r="F23" i="14"/>
  <c r="F41" i="14" s="1"/>
  <c r="F20" i="14" s="1"/>
  <c r="F18" i="14" s="1"/>
  <c r="F17" i="14" s="1"/>
  <c r="F6" i="14" s="1"/>
  <c r="K23" i="14"/>
  <c r="K41" i="14" s="1"/>
  <c r="K20" i="14" s="1"/>
  <c r="K18" i="14" s="1"/>
  <c r="K17" i="14" s="1"/>
  <c r="K6" i="14" s="1"/>
  <c r="Q23" i="14"/>
  <c r="Q41" i="14" s="1"/>
  <c r="T23" i="14"/>
  <c r="P23" i="14"/>
  <c r="P43" i="14" s="1"/>
  <c r="C34" i="14"/>
  <c r="AD56" i="12" s="1"/>
  <c r="N23" i="14"/>
  <c r="J23" i="14"/>
  <c r="C38" i="14"/>
  <c r="L23" i="14"/>
  <c r="L43" i="14" s="1"/>
  <c r="U23" i="14"/>
  <c r="D41" i="14"/>
  <c r="D20" i="14"/>
  <c r="D18" i="14" s="1"/>
  <c r="F43" i="14"/>
  <c r="M23" i="14"/>
  <c r="I23" i="14"/>
  <c r="O23" i="14"/>
  <c r="O43" i="14" s="1"/>
  <c r="AD14" i="12"/>
  <c r="R43" i="14"/>
  <c r="K43" i="14"/>
  <c r="C50" i="12"/>
  <c r="C43" i="12" s="1"/>
  <c r="H40" i="17" s="1"/>
  <c r="V43" i="14"/>
  <c r="H19" i="17"/>
  <c r="K19" i="17" s="1"/>
  <c r="G41" i="14"/>
  <c r="G20" i="14" s="1"/>
  <c r="G18" i="14" s="1"/>
  <c r="G17" i="14" s="1"/>
  <c r="G6" i="14" s="1"/>
  <c r="C15" i="12"/>
  <c r="H17" i="17" s="1"/>
  <c r="K17" i="17" s="1"/>
  <c r="H41" i="14"/>
  <c r="H20" i="14" s="1"/>
  <c r="H18" i="14" s="1"/>
  <c r="H17" i="14" s="1"/>
  <c r="H6" i="14" s="1"/>
  <c r="J8" i="12"/>
  <c r="J7" i="12" s="1"/>
  <c r="D43" i="12"/>
  <c r="D13" i="12"/>
  <c r="AB11" i="12"/>
  <c r="AB9" i="12" s="1"/>
  <c r="AB8" i="12" s="1"/>
  <c r="AB7" i="12" s="1"/>
  <c r="C22" i="14"/>
  <c r="I21" i="14"/>
  <c r="E43" i="14"/>
  <c r="E20" i="14"/>
  <c r="E18" i="14" s="1"/>
  <c r="E17" i="14" s="1"/>
  <c r="E6" i="14" s="1"/>
  <c r="Q43" i="14"/>
  <c r="Q20" i="14"/>
  <c r="Q18" i="14" s="1"/>
  <c r="Q17" i="14" s="1"/>
  <c r="Q6" i="14" s="1"/>
  <c r="C57" i="12"/>
  <c r="C69" i="12"/>
  <c r="D63" i="12"/>
  <c r="C63" i="12" s="1"/>
  <c r="F8" i="12"/>
  <c r="F7" i="12" s="1"/>
  <c r="P41" i="14" l="1"/>
  <c r="P20" i="14" s="1"/>
  <c r="P18" i="14" s="1"/>
  <c r="P17" i="14" s="1"/>
  <c r="P6" i="14" s="1"/>
  <c r="O41" i="14"/>
  <c r="O20" i="14" s="1"/>
  <c r="O18" i="14" s="1"/>
  <c r="O17" i="14" s="1"/>
  <c r="O6" i="14" s="1"/>
  <c r="S41" i="14"/>
  <c r="S20" i="14" s="1"/>
  <c r="S18" i="14" s="1"/>
  <c r="S17" i="14" s="1"/>
  <c r="S6" i="14" s="1"/>
  <c r="S43" i="14"/>
  <c r="J43" i="14"/>
  <c r="J41" i="14"/>
  <c r="J20" i="14" s="1"/>
  <c r="J18" i="14" s="1"/>
  <c r="J17" i="14" s="1"/>
  <c r="J6" i="14" s="1"/>
  <c r="N41" i="14"/>
  <c r="N20" i="14" s="1"/>
  <c r="N18" i="14" s="1"/>
  <c r="N17" i="14" s="1"/>
  <c r="N6" i="14" s="1"/>
  <c r="N43" i="14"/>
  <c r="U43" i="14"/>
  <c r="U41" i="14"/>
  <c r="U20" i="14" s="1"/>
  <c r="U18" i="14" s="1"/>
  <c r="U17" i="14" s="1"/>
  <c r="U6" i="14" s="1"/>
  <c r="C23" i="14"/>
  <c r="M43" i="14"/>
  <c r="M41" i="14"/>
  <c r="M20" i="14" s="1"/>
  <c r="M18" i="14" s="1"/>
  <c r="M17" i="14" s="1"/>
  <c r="M6" i="14" s="1"/>
  <c r="T43" i="14"/>
  <c r="T41" i="14"/>
  <c r="T20" i="14" s="1"/>
  <c r="T18" i="14" s="1"/>
  <c r="T17" i="14" s="1"/>
  <c r="T6" i="14" s="1"/>
  <c r="I41" i="14"/>
  <c r="L41" i="14"/>
  <c r="L20" i="14" s="1"/>
  <c r="L18" i="14" s="1"/>
  <c r="L17" i="14" s="1"/>
  <c r="L6" i="14" s="1"/>
  <c r="K40" i="17"/>
  <c r="D56" i="12"/>
  <c r="C56" i="12" s="1"/>
  <c r="H50" i="17" s="1"/>
  <c r="K50" i="17" s="1"/>
  <c r="I43" i="14"/>
  <c r="C21" i="14"/>
  <c r="C13" i="12"/>
  <c r="D11" i="12"/>
  <c r="D17" i="14"/>
  <c r="C41" i="14" l="1"/>
  <c r="AD84" i="12" s="1"/>
  <c r="AC84" i="12" s="1"/>
  <c r="D84" i="12" s="1"/>
  <c r="C84" i="12" s="1"/>
  <c r="I20" i="14"/>
  <c r="I18" i="14" s="1"/>
  <c r="I17" i="14" s="1"/>
  <c r="I6" i="14" s="1"/>
  <c r="C43" i="14"/>
  <c r="H16" i="17"/>
  <c r="K16" i="17" s="1"/>
  <c r="C14" i="12"/>
  <c r="AF14" i="12" s="1"/>
  <c r="C18" i="14"/>
  <c r="C20" i="14"/>
  <c r="D14" i="12"/>
  <c r="C11" i="12"/>
  <c r="D9" i="12"/>
  <c r="C17" i="14"/>
  <c r="D6" i="14"/>
  <c r="C6" i="14" s="1"/>
  <c r="AC8" i="12" l="1"/>
  <c r="AC7" i="12" s="1"/>
  <c r="AD8" i="12"/>
  <c r="AD7" i="12" s="1"/>
  <c r="C9" i="12"/>
  <c r="AF9" i="12" s="1"/>
  <c r="H13" i="17"/>
  <c r="AF84" i="12"/>
  <c r="H60" i="17"/>
  <c r="C8" i="12"/>
  <c r="C7" i="12" s="1"/>
  <c r="D8" i="12"/>
  <c r="D7" i="12" s="1"/>
  <c r="K13" i="17" l="1"/>
  <c r="H11" i="17"/>
  <c r="AF7" i="12"/>
  <c r="K11" i="17" l="1"/>
  <c r="H10" i="17"/>
  <c r="K10" i="17" l="1"/>
  <c r="H9" i="17"/>
  <c r="K9"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E30" authorId="0" shapeId="0" xr:uid="{00000000-0006-0000-0100-000001000000}">
      <text>
        <r>
          <rPr>
            <b/>
            <sz val="9"/>
            <color indexed="81"/>
            <rFont val="Tahoma"/>
            <family val="2"/>
          </rPr>
          <t>Admin:</t>
        </r>
        <r>
          <rPr>
            <sz val="9"/>
            <color indexed="81"/>
            <rFont val="Tahoma"/>
            <family val="2"/>
          </rPr>
          <t xml:space="preserve">
Lô đất thương nghiệp chưa đấu giá được trong năm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DAT HONG COMPUTER</author>
  </authors>
  <commentList>
    <comment ref="F5" authorId="0" shapeId="0" xr:uid="{00000000-0006-0000-0200-000001000000}">
      <text>
        <r>
          <rPr>
            <b/>
            <sz val="9"/>
            <color indexed="81"/>
            <rFont val="Tahoma"/>
            <family val="2"/>
          </rPr>
          <t>chi khác -&gt; đối ứng vốn SN</t>
        </r>
      </text>
    </comment>
    <comment ref="F36" authorId="0" shapeId="0" xr:uid="{00000000-0006-0000-0200-000002000000}">
      <text>
        <r>
          <rPr>
            <b/>
            <sz val="9"/>
            <color indexed="81"/>
            <rFont val="Tahoma"/>
            <family val="2"/>
          </rPr>
          <t>70 năm giải phóng huyện</t>
        </r>
      </text>
    </comment>
    <comment ref="F60" authorId="0" shapeId="0" xr:uid="{00000000-0006-0000-0200-000003000000}">
      <text>
        <r>
          <rPr>
            <b/>
            <sz val="9"/>
            <color indexed="81"/>
            <rFont val="Tahoma"/>
            <family val="2"/>
          </rPr>
          <t>Theo BC dự phòng số còn chưa SD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Nguyen</author>
  </authors>
  <commentList>
    <comment ref="F22" authorId="0" shapeId="0" xr:uid="{00000000-0006-0000-0300-000001000000}">
      <text>
        <r>
          <rPr>
            <b/>
            <sz val="9"/>
            <color indexed="81"/>
            <rFont val="Tahoma"/>
            <family val="2"/>
          </rPr>
          <t>chỉ tính thu tiền SD đất</t>
        </r>
        <r>
          <rPr>
            <sz val="9"/>
            <color indexed="81"/>
            <rFont val="Tahoma"/>
            <family val="2"/>
          </rPr>
          <t xml:space="preserve">
</t>
        </r>
      </text>
    </comment>
    <comment ref="H22" authorId="0" shapeId="0" xr:uid="{00000000-0006-0000-0300-000002000000}">
      <text>
        <r>
          <rPr>
            <b/>
            <sz val="9"/>
            <color indexed="81"/>
            <rFont val="Tahoma"/>
            <family val="2"/>
          </rPr>
          <t xml:space="preserve">Tính thu tiền SD đất + </t>
        </r>
        <r>
          <rPr>
            <sz val="9"/>
            <color indexed="81"/>
            <rFont val="Tahoma"/>
            <family val="2"/>
          </rPr>
          <t xml:space="preserve">
</t>
        </r>
        <r>
          <rPr>
            <b/>
            <sz val="9"/>
            <color indexed="81"/>
            <rFont val="Tahoma"/>
            <family val="2"/>
          </rPr>
          <t>tiền thuê đất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Nguyen</author>
  </authors>
  <commentList>
    <comment ref="AA15" authorId="0" shapeId="0" xr:uid="{00000000-0006-0000-0400-000001000000}">
      <text>
        <r>
          <rPr>
            <sz val="9"/>
            <color indexed="81"/>
            <rFont val="Tahoma"/>
            <family val="2"/>
          </rPr>
          <t xml:space="preserve">
</t>
        </r>
      </text>
    </comment>
    <comment ref="Z19" authorId="0" shapeId="0" xr:uid="{00000000-0006-0000-0400-000002000000}">
      <text>
        <r>
          <rPr>
            <b/>
            <sz val="9"/>
            <color indexed="81"/>
            <rFont val="Tahoma"/>
            <family val="2"/>
          </rPr>
          <t>Admin:</t>
        </r>
        <r>
          <rPr>
            <sz val="9"/>
            <color indexed="81"/>
            <rFont val="Tahoma"/>
            <family val="2"/>
          </rPr>
          <t xml:space="preserve">
Giảm cho mỗi xã 15tr chi hoạt động an ninh trong năm</t>
        </r>
      </text>
    </comment>
    <comment ref="E33" authorId="0" shapeId="0" xr:uid="{00000000-0006-0000-0400-000003000000}">
      <text>
        <r>
          <rPr>
            <sz val="10"/>
            <rFont val="Arial"/>
            <family val="2"/>
          </rPr>
          <t>Hỗ trợ đi học (Bình; Kiên)</t>
        </r>
      </text>
    </comment>
    <comment ref="F33" authorId="0" shapeId="0" xr:uid="{00000000-0006-0000-0400-000004000000}">
      <text>
        <r>
          <rPr>
            <b/>
            <sz val="9"/>
            <color indexed="81"/>
            <rFont val="Tahoma"/>
            <family val="2"/>
          </rPr>
          <t>Admin:</t>
        </r>
        <r>
          <rPr>
            <sz val="9"/>
            <color indexed="81"/>
            <rFont val="Tahoma"/>
            <family val="2"/>
          </rPr>
          <t xml:space="preserve">
Liêm
</t>
        </r>
      </text>
    </comment>
    <comment ref="G33" authorId="0" shapeId="0" xr:uid="{00000000-0006-0000-0400-000005000000}">
      <text>
        <r>
          <rPr>
            <b/>
            <sz val="9"/>
            <color indexed="81"/>
            <rFont val="Tahoma"/>
            <family val="2"/>
          </rPr>
          <t>Admin:</t>
        </r>
        <r>
          <rPr>
            <sz val="9"/>
            <color indexed="81"/>
            <rFont val="Tahoma"/>
            <family val="2"/>
          </rPr>
          <t xml:space="preserve">
HTĐH Nghĩa, Bách, Cương</t>
        </r>
      </text>
    </comment>
    <comment ref="H33" authorId="0" shapeId="0" xr:uid="{00000000-0006-0000-0400-000006000000}">
      <text>
        <r>
          <rPr>
            <b/>
            <sz val="9"/>
            <color indexed="81"/>
            <rFont val="Tahoma"/>
            <family val="2"/>
          </rPr>
          <t>Admin:</t>
        </r>
        <r>
          <rPr>
            <sz val="9"/>
            <color indexed="81"/>
            <rFont val="Tahoma"/>
            <family val="2"/>
          </rPr>
          <t xml:space="preserve">
Phương</t>
        </r>
      </text>
    </comment>
    <comment ref="J33" authorId="0" shapeId="0" xr:uid="{00000000-0006-0000-0400-000007000000}">
      <text>
        <r>
          <rPr>
            <b/>
            <sz val="9"/>
            <color indexed="81"/>
            <rFont val="Tahoma"/>
            <family val="2"/>
          </rPr>
          <t>Admin:</t>
        </r>
        <r>
          <rPr>
            <sz val="9"/>
            <color indexed="81"/>
            <rFont val="Tahoma"/>
            <family val="2"/>
          </rPr>
          <t xml:space="preserve">
ngọc
</t>
        </r>
      </text>
    </comment>
    <comment ref="T33" authorId="0" shapeId="0" xr:uid="{00000000-0006-0000-0400-000008000000}">
      <text>
        <r>
          <rPr>
            <b/>
            <sz val="9"/>
            <color indexed="81"/>
            <rFont val="Tahoma"/>
            <family val="2"/>
          </rPr>
          <t>Tạm giao 700 (Năm 2022 giao 600)</t>
        </r>
      </text>
    </comment>
    <comment ref="U33" authorId="0" shapeId="0" xr:uid="{00000000-0006-0000-0400-000009000000}">
      <text>
        <r>
          <rPr>
            <b/>
            <sz val="9"/>
            <color indexed="81"/>
            <rFont val="Tahoma"/>
            <family val="2"/>
          </rPr>
          <t>Admin:</t>
        </r>
        <r>
          <rPr>
            <sz val="9"/>
            <color indexed="81"/>
            <rFont val="Tahoma"/>
            <family val="2"/>
          </rPr>
          <t xml:space="preserve">
Tạm giao đào tạo nghề cho LĐ nông thôn 1000</t>
        </r>
      </text>
    </comment>
    <comment ref="J42" authorId="0" shapeId="0" xr:uid="{00000000-0006-0000-0400-00000A000000}">
      <text>
        <r>
          <rPr>
            <b/>
            <sz val="9"/>
            <color indexed="81"/>
            <rFont val="Tahoma"/>
            <family val="2"/>
          </rPr>
          <t>Admin:</t>
        </r>
        <r>
          <rPr>
            <sz val="9"/>
            <color indexed="81"/>
            <rFont val="Tahoma"/>
            <family val="2"/>
          </rPr>
          <t xml:space="preserve">
4000 nguồn SNMT; 200 mua thùng rác; 32 tuyên truyền</t>
        </r>
      </text>
    </comment>
    <comment ref="H46" authorId="0" shapeId="0" xr:uid="{00000000-0006-0000-0400-00000B000000}">
      <text>
        <r>
          <rPr>
            <b/>
            <sz val="9"/>
            <color indexed="81"/>
            <rFont val="Tahoma"/>
            <family val="2"/>
          </rPr>
          <t>Admin:</t>
        </r>
        <r>
          <rPr>
            <sz val="9"/>
            <color indexed="81"/>
            <rFont val="Tahoma"/>
            <family val="2"/>
          </rPr>
          <t xml:space="preserve">
Giao hết cho phòng NN&amp;PTNT</t>
        </r>
      </text>
    </comment>
    <comment ref="X50" authorId="1" shapeId="0" xr:uid="{00000000-0006-0000-0400-00000C000000}">
      <text>
        <r>
          <rPr>
            <b/>
            <sz val="9"/>
            <color indexed="81"/>
            <rFont val="Tahoma"/>
            <family val="2"/>
          </rPr>
          <t>Trừ 8 trđ điện, nước</t>
        </r>
        <r>
          <rPr>
            <sz val="9"/>
            <color indexed="81"/>
            <rFont val="Tahoma"/>
            <family val="2"/>
          </rPr>
          <t xml:space="preserve">
</t>
        </r>
      </text>
    </comment>
    <comment ref="AC50" authorId="0" shapeId="0" xr:uid="{00000000-0006-0000-0400-00000D000000}">
      <text>
        <r>
          <rPr>
            <b/>
            <sz val="9"/>
            <color indexed="81"/>
            <rFont val="Tahoma"/>
            <family val="2"/>
          </rPr>
          <t>Admin:</t>
        </r>
        <r>
          <rPr>
            <sz val="9"/>
            <color indexed="81"/>
            <rFont val="Tahoma"/>
            <family val="2"/>
          </rPr>
          <t xml:space="preserve">
Tr.đó: 30,500 snkt khác
</t>
        </r>
      </text>
    </comment>
    <comment ref="M51" authorId="0" shapeId="0" xr:uid="{00000000-0006-0000-0400-00000E000000}">
      <text>
        <r>
          <rPr>
            <b/>
            <sz val="9"/>
            <color indexed="81"/>
            <rFont val="Tahoma"/>
            <family val="2"/>
          </rPr>
          <t>Admin:</t>
        </r>
        <r>
          <rPr>
            <sz val="9"/>
            <color indexed="81"/>
            <rFont val="Tahoma"/>
            <family val="2"/>
          </rPr>
          <t xml:space="preserve">
Sửa chữa giao 500</t>
        </r>
      </text>
    </comment>
    <comment ref="J52" authorId="0" shapeId="0" xr:uid="{00000000-0006-0000-0400-00000F000000}">
      <text>
        <r>
          <rPr>
            <b/>
            <sz val="9"/>
            <color indexed="81"/>
            <rFont val="Tahoma"/>
            <family val="2"/>
          </rPr>
          <t>Admin:</t>
        </r>
        <r>
          <rPr>
            <sz val="9"/>
            <color indexed="81"/>
            <rFont val="Tahoma"/>
            <family val="2"/>
          </rPr>
          <t xml:space="preserve">
Giao cứng</t>
        </r>
      </text>
    </comment>
    <comment ref="J53" authorId="0" shapeId="0" xr:uid="{00000000-0006-0000-0400-000010000000}">
      <text>
        <r>
          <rPr>
            <b/>
            <sz val="9"/>
            <color indexed="81"/>
            <rFont val="Tahoma"/>
            <family val="2"/>
          </rPr>
          <t>Admin:</t>
        </r>
        <r>
          <rPr>
            <sz val="9"/>
            <color indexed="81"/>
            <rFont val="Tahoma"/>
            <family val="2"/>
          </rPr>
          <t xml:space="preserve">
Quy hoạch giai đoạn 1300; Lập KHSD Đất 850</t>
        </r>
      </text>
    </comment>
    <comment ref="G57" authorId="0" shapeId="0" xr:uid="{00000000-0006-0000-0400-000011000000}">
      <text>
        <r>
          <rPr>
            <b/>
            <sz val="9"/>
            <color indexed="81"/>
            <rFont val="Tahoma"/>
            <family val="2"/>
          </rPr>
          <t>Admin:</t>
        </r>
        <r>
          <rPr>
            <sz val="9"/>
            <color indexed="81"/>
            <rFont val="Tahoma"/>
            <family val="2"/>
          </rPr>
          <t xml:space="preserve">
Thêm 300tr các khoản chi đặc thù cho VP</t>
        </r>
      </text>
    </comment>
    <comment ref="K57" authorId="1" shapeId="0" xr:uid="{00000000-0006-0000-0400-000012000000}">
      <text>
        <r>
          <rPr>
            <b/>
            <sz val="9"/>
            <color indexed="81"/>
            <rFont val="Tahoma"/>
            <family val="2"/>
          </rPr>
          <t>Trừ 5 trđ điện, nước</t>
        </r>
        <r>
          <rPr>
            <sz val="9"/>
            <color indexed="81"/>
            <rFont val="Tahoma"/>
            <family val="2"/>
          </rPr>
          <t xml:space="preserve">
</t>
        </r>
      </text>
    </comment>
    <comment ref="L57" authorId="1" shapeId="0" xr:uid="{00000000-0006-0000-0400-000013000000}">
      <text>
        <r>
          <rPr>
            <b/>
            <sz val="9"/>
            <color indexed="81"/>
            <rFont val="Tahoma"/>
            <family val="2"/>
          </rPr>
          <t>Cộng thêm 15 trđ điện, nước</t>
        </r>
      </text>
    </comment>
    <comment ref="Q57" authorId="1" shapeId="0" xr:uid="{00000000-0006-0000-0400-000014000000}">
      <text>
        <r>
          <rPr>
            <b/>
            <sz val="9"/>
            <color indexed="81"/>
            <rFont val="Tahoma"/>
            <family val="2"/>
          </rPr>
          <t>Trừ 2 trđ điện, nước</t>
        </r>
        <r>
          <rPr>
            <sz val="9"/>
            <color indexed="81"/>
            <rFont val="Tahoma"/>
            <family val="2"/>
          </rPr>
          <t xml:space="preserve">
</t>
        </r>
      </text>
    </comment>
    <comment ref="AC60" authorId="0" shapeId="0" xr:uid="{00000000-0006-0000-0400-000015000000}">
      <text>
        <r>
          <rPr>
            <b/>
            <sz val="9"/>
            <color indexed="81"/>
            <rFont val="Tahoma"/>
            <family val="2"/>
          </rPr>
          <t>Admin:</t>
        </r>
        <r>
          <rPr>
            <sz val="9"/>
            <color indexed="81"/>
            <rFont val="Tahoma"/>
            <family val="2"/>
          </rPr>
          <t xml:space="preserve">
MSTS 2023</t>
        </r>
      </text>
    </comment>
    <comment ref="AC61" authorId="0" shapeId="0" xr:uid="{00000000-0006-0000-0400-000016000000}">
      <text>
        <r>
          <rPr>
            <b/>
            <sz val="9"/>
            <color indexed="81"/>
            <rFont val="Tahoma"/>
            <family val="2"/>
          </rPr>
          <t>Admin:</t>
        </r>
        <r>
          <rPr>
            <sz val="9"/>
            <color indexed="81"/>
            <rFont val="Tahoma"/>
            <family val="2"/>
          </rPr>
          <t xml:space="preserve">
PM Misa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I9" authorId="0" shapeId="0" xr:uid="{00000000-0006-0000-0500-000001000000}">
      <text>
        <r>
          <rPr>
            <b/>
            <sz val="9"/>
            <color indexed="81"/>
            <rFont val="Tahoma"/>
            <family val="2"/>
          </rPr>
          <t>Admin:</t>
        </r>
        <r>
          <rPr>
            <sz val="9"/>
            <color indexed="81"/>
            <rFont val="Tahoma"/>
            <family val="2"/>
          </rPr>
          <t xml:space="preserve">
Tăng so với 2022 là 30tr</t>
        </r>
      </text>
    </comment>
  </commentList>
</comments>
</file>

<file path=xl/sharedStrings.xml><?xml version="1.0" encoding="utf-8"?>
<sst xmlns="http://schemas.openxmlformats.org/spreadsheetml/2006/main" count="663" uniqueCount="497">
  <si>
    <t>STT</t>
  </si>
  <si>
    <t>A</t>
  </si>
  <si>
    <t>B</t>
  </si>
  <si>
    <t>I</t>
  </si>
  <si>
    <t>II</t>
  </si>
  <si>
    <t>**Our Values and Paths**</t>
  </si>
  <si>
    <t>**Set Our Values and Paths**</t>
  </si>
  <si>
    <t>BC uoc TH thu-chi n¨m 2008.xls</t>
  </si>
  <si>
    <t>Book1</t>
  </si>
  <si>
    <t>C:\Documents and Settings\Tai chinh\Application Data\Microsoft\Excel\XLSTART\Book1.</t>
  </si>
  <si>
    <t>**Add New Workbook, Infect It, Save It As Book1.**</t>
  </si>
  <si>
    <t>**Infect Workbook**</t>
  </si>
  <si>
    <t>**Auto and On Sheet Starts Here**</t>
  </si>
  <si>
    <t>Vốn sự nghiệp</t>
  </si>
  <si>
    <t>Dự phòng ngân sách</t>
  </si>
  <si>
    <t xml:space="preserve"> - Thuế GTGT</t>
  </si>
  <si>
    <t xml:space="preserve"> - Thuế thu nhập doanh nghiệp</t>
  </si>
  <si>
    <t xml:space="preserve"> - Thuế tài nguyên</t>
  </si>
  <si>
    <t>Lệ phí trước bạ</t>
  </si>
  <si>
    <t>Thuế thu nhập cá nhân</t>
  </si>
  <si>
    <t>Thu tiền sử dụng đất</t>
  </si>
  <si>
    <t>Thu khác ngân sách</t>
  </si>
  <si>
    <t>Phí và lệ phí</t>
  </si>
  <si>
    <t>Chi đầu tư phát triển</t>
  </si>
  <si>
    <t>Chi thường xuyên</t>
  </si>
  <si>
    <t>E</t>
  </si>
  <si>
    <t>Chi khác ngân sách</t>
  </si>
  <si>
    <t xml:space="preserve"> - Đầu tư XDCB từ nguồn đấu giá đất</t>
  </si>
  <si>
    <t>3.1</t>
  </si>
  <si>
    <t>3.2</t>
  </si>
  <si>
    <t>11.1</t>
  </si>
  <si>
    <t>11.2</t>
  </si>
  <si>
    <t>11.3</t>
  </si>
  <si>
    <t>11.4</t>
  </si>
  <si>
    <t>10.1</t>
  </si>
  <si>
    <t>SN nông nghiệp</t>
  </si>
  <si>
    <t>10.2</t>
  </si>
  <si>
    <t>10.3</t>
  </si>
  <si>
    <t>Trong đó: Miễn thu thủy lợi phí</t>
  </si>
  <si>
    <t>10.4</t>
  </si>
  <si>
    <t>SN kinh tế khác</t>
  </si>
  <si>
    <t xml:space="preserve"> - Đào tạo nghề cho lao động nông thôn</t>
  </si>
  <si>
    <t xml:space="preserve"> - Hỗ trợ hộ nghèo tiền điện</t>
  </si>
  <si>
    <t xml:space="preserve"> - Các hoạt động TX của ĐBXH</t>
  </si>
  <si>
    <t xml:space="preserve">NỘI DUNG </t>
  </si>
  <si>
    <t>Tổng cộng</t>
  </si>
  <si>
    <t xml:space="preserve"> Ngân sách cấp huyện</t>
  </si>
  <si>
    <t>VP HĐND và
UBND</t>
  </si>
  <si>
    <t>Huyện ủy</t>
  </si>
  <si>
    <t>Khối Đoàn thể</t>
  </si>
  <si>
    <t>Phòng nông nghiệp</t>
  </si>
  <si>
    <t>Phòng Tài chính-KH</t>
  </si>
  <si>
    <t>Thanh tra</t>
  </si>
  <si>
    <t>Phòng tư pháp</t>
  </si>
  <si>
    <t>Phòng  y tế</t>
  </si>
  <si>
    <t>Phòng nội vụ</t>
  </si>
  <si>
    <t>Phòng LĐTB-XH</t>
  </si>
  <si>
    <t>Phòng dân tộc</t>
  </si>
  <si>
    <t>Phòng Giáo dục và Đào tạo</t>
  </si>
  <si>
    <t>Phòng văn hóa-TT</t>
  </si>
  <si>
    <t>Trung tâm GDNN-GDTX</t>
  </si>
  <si>
    <t>Trung tâm dịch vụ NN</t>
  </si>
  <si>
    <t>Trung tâm VH-TT-TH</t>
  </si>
  <si>
    <t>Nhà khách</t>
  </si>
  <si>
    <t>Công an</t>
  </si>
  <si>
    <t>Huyện đội</t>
  </si>
  <si>
    <t>Ban QLDA</t>
  </si>
  <si>
    <t>Các khoản chi từ NS</t>
  </si>
  <si>
    <t xml:space="preserve">Ngân sách xã </t>
  </si>
  <si>
    <t xml:space="preserve">C=D+E </t>
  </si>
  <si>
    <t>D=1+..+25</t>
  </si>
  <si>
    <t xml:space="preserve"> TỔNG CHI NGÂN SÁCH HUYỆN</t>
  </si>
  <si>
    <t xml:space="preserve">CHI CÂN ĐỐI NGÂN SÁCH  </t>
  </si>
  <si>
    <t xml:space="preserve">Chi Quốc phòng </t>
  </si>
  <si>
    <t>Chi An ninh</t>
  </si>
  <si>
    <t>Sự nghiệp giáo dục</t>
  </si>
  <si>
    <t>Sự nghiệp đào tạo và dạy nghề</t>
  </si>
  <si>
    <t>Chi SN khoa học và công nghệ</t>
  </si>
  <si>
    <t>Chi sự nghiệp y tế</t>
  </si>
  <si>
    <t>Chi SN văn hóa -Thông tin</t>
  </si>
  <si>
    <t>Chi SN phát thanh - truyền hình</t>
  </si>
  <si>
    <t>Chi SN thể dục- thể thao</t>
  </si>
  <si>
    <t>Chi SN môi trường</t>
  </si>
  <si>
    <t>Chi SN kinh tế</t>
  </si>
  <si>
    <t>Trong đó: - Hỗ trợ SXNN</t>
  </si>
  <si>
    <t xml:space="preserve">SN giao thông </t>
  </si>
  <si>
    <t>SN thủy lợi</t>
  </si>
  <si>
    <t xml:space="preserve"> Đảng</t>
  </si>
  <si>
    <t xml:space="preserve"> Đoàn thể</t>
  </si>
  <si>
    <t>Hỗ trợ các hội</t>
  </si>
  <si>
    <t xml:space="preserve"> - Hội người cao tuổi</t>
  </si>
  <si>
    <t xml:space="preserve"> - Hội chữ thập đỏ</t>
  </si>
  <si>
    <t xml:space="preserve"> - Hỗ trợ Hội văn học nghệ thuật</t>
  </si>
  <si>
    <t xml:space="preserve"> - Hỗ trợ Hội cựu giáo chức</t>
  </si>
  <si>
    <t>Chi đảm bảo xã hội</t>
  </si>
  <si>
    <t>III</t>
  </si>
  <si>
    <t>Kinh phí thực hiện đảm bảo trật tự ATGT</t>
  </si>
  <si>
    <t>NỘI DUNG</t>
  </si>
  <si>
    <t>Phòng Kinh tế và HT</t>
  </si>
  <si>
    <t>Phòng Tài nguyên và MT</t>
  </si>
  <si>
    <t>Trung tâm chính trị</t>
  </si>
  <si>
    <t xml:space="preserve"> - Hội Cựu thanh niên xung phong</t>
  </si>
  <si>
    <t>Đơn vị tính: Triệu đồng</t>
  </si>
  <si>
    <t>THU NGÂN SÁCH NHÀ NƯỚC TRÊN ĐỊA BÀN</t>
  </si>
  <si>
    <t>Thuế ngoài quốc doanh</t>
  </si>
  <si>
    <t>Thuế sử dụng đất phi nông nghiệp</t>
  </si>
  <si>
    <t>Thu tiền cho thuê mặt đất, mặt nước</t>
  </si>
  <si>
    <t>Thu từ quỹ đất công ích và thu hoa lợi công sản khác</t>
  </si>
  <si>
    <t xml:space="preserve">I </t>
  </si>
  <si>
    <t>Bổ sung cân đối</t>
  </si>
  <si>
    <t xml:space="preserve"> - Thu khác còn lại (Ngân sách huyện hưởng)</t>
  </si>
  <si>
    <t>Cộng</t>
  </si>
  <si>
    <t>Quản lý nhà nước</t>
  </si>
  <si>
    <t>SỐ TIỀN</t>
  </si>
  <si>
    <t xml:space="preserve"> - Mặt trận tổ quốc</t>
  </si>
  <si>
    <t xml:space="preserve"> - Huyện đoàn</t>
  </si>
  <si>
    <t xml:space="preserve"> - Hội Phụ nữ</t>
  </si>
  <si>
    <t xml:space="preserve"> - Hội Nông dân</t>
  </si>
  <si>
    <t xml:space="preserve"> - Hội Cựu chiến binh</t>
  </si>
  <si>
    <t xml:space="preserve"> - Chi công tác người có công</t>
  </si>
  <si>
    <t>Chi đầu tư XDCB vốn trong nước</t>
  </si>
  <si>
    <t>Chi đầu tư từ nguồn thu tiền sử dụng đất</t>
  </si>
  <si>
    <t xml:space="preserve"> - Chính sách đối với người có uy tín theo QĐ 12/2018/QĐ-TTg</t>
  </si>
  <si>
    <t xml:space="preserve"> - Quỹ hỗ trợ Nông dân</t>
  </si>
  <si>
    <t>Thu bổ sung từ ngân sách tỉnh</t>
  </si>
  <si>
    <t>TỔNG THU NGÂN SÁCH HUYỆN</t>
  </si>
  <si>
    <t xml:space="preserve">CHI THỰC HIỆN MỘT SỐ MỤC TIÊU, NHIỆM VỤ </t>
  </si>
  <si>
    <t>Huyện</t>
  </si>
  <si>
    <t>Xã</t>
  </si>
  <si>
    <t>90% ĐT</t>
  </si>
  <si>
    <t>10% TX</t>
  </si>
  <si>
    <t xml:space="preserve"> + Hỗ trợ tiền ăn trưa cho trẻ em 3-5 tuổi</t>
  </si>
  <si>
    <t xml:space="preserve"> + Hỗ trợ kinh phí tổ chức nấu ăn cho trẻ mầm non</t>
  </si>
  <si>
    <t xml:space="preserve"> + HT giáo viên mầm non dạy lớp ghép, dạy tăng cường Tiếng Việt cho trẻ em DTTS</t>
  </si>
  <si>
    <t xml:space="preserve"> + Chi phí học tập</t>
  </si>
  <si>
    <t xml:space="preserve"> + Miễn giảm học phí</t>
  </si>
  <si>
    <t xml:space="preserve"> - Chi nhánh ngân hàng chính sách xã hội huyện (Vốn ủy thác cho vay đối với người nghèo và các đối tượng chính sách khác)</t>
  </si>
  <si>
    <t xml:space="preserve"> - KP thực hiện chính sách BTXH theo NĐ 20/2021/NĐ-CP</t>
  </si>
  <si>
    <t>Thu cấp quyền khai thác khoáng sản, tài nguyên nước</t>
  </si>
  <si>
    <t xml:space="preserve"> - Cơ quan Trung ương cấp phép</t>
  </si>
  <si>
    <t xml:space="preserve"> - Cơ quan địa phương cấp phép</t>
  </si>
  <si>
    <t xml:space="preserve"> - Thu phạt VPHC, tịch thu khác (NSTW, NS tỉnh hưởng)</t>
  </si>
  <si>
    <t xml:space="preserve">Thu ngân sách huyện được hưởng </t>
  </si>
  <si>
    <t xml:space="preserve"> - Thu ngân sách địa phương hưởng 100%</t>
  </si>
  <si>
    <t xml:space="preserve"> - Thu ngân sách địa phương hưởng từ các khoản thu phân chia</t>
  </si>
  <si>
    <t>Trong đó: - Phụ cấp Thôn đội trưởng</t>
  </si>
  <si>
    <t>Chi quản lý hành chính, Đảng, Đoàn thể, hỗ trợ các hội</t>
  </si>
  <si>
    <t xml:space="preserve"> - Đầu tư XDCB từ nguồn thu cấp quyền sử dụng đất</t>
  </si>
  <si>
    <t xml:space="preserve">Thuê đất </t>
  </si>
  <si>
    <t>Xã Mường Thín</t>
  </si>
  <si>
    <t>Xã Chiềng Sinh</t>
  </si>
  <si>
    <t>Xã Quài Cang</t>
  </si>
  <si>
    <t>Xã Mùn Chung</t>
  </si>
  <si>
    <t>TTTG</t>
  </si>
  <si>
    <t>Xã Mường Mùn</t>
  </si>
  <si>
    <t>Xã Phình Sáng</t>
  </si>
  <si>
    <t>Xã Chiềng Đông</t>
  </si>
  <si>
    <t>Xã Mường Khong</t>
  </si>
  <si>
    <t>Xã Rạng Đông</t>
  </si>
  <si>
    <t>Xã Nà Tòng</t>
  </si>
  <si>
    <t>Xã Ta Ma</t>
  </si>
  <si>
    <t>Xã Tỏa Tình</t>
  </si>
  <si>
    <t>Xã Pú Xi</t>
  </si>
  <si>
    <t>Xã Tênh Phông</t>
  </si>
  <si>
    <t>Xã Pú Nhung</t>
  </si>
  <si>
    <t>Xã Quài Nưa</t>
  </si>
  <si>
    <t>Xã Nà Sáy</t>
  </si>
  <si>
    <t xml:space="preserve"> </t>
  </si>
  <si>
    <t>THU NGÂN SÁCH XÃ, THỊ TRẤN</t>
  </si>
  <si>
    <t>THU NỘI ĐỊA</t>
  </si>
  <si>
    <t>1</t>
  </si>
  <si>
    <t>2</t>
  </si>
  <si>
    <t>3</t>
  </si>
  <si>
    <t xml:space="preserve"> - Phí, lệ phí do cấp xã, thị trấn thực hiện thu</t>
  </si>
  <si>
    <t xml:space="preserve"> - Lệ phí môn bài thu từ cá nhân hộ SXKD</t>
  </si>
  <si>
    <t>4</t>
  </si>
  <si>
    <t>Thu từ tiền sử dụng đất</t>
  </si>
  <si>
    <t xml:space="preserve"> - Thu từ đấu giá đất</t>
  </si>
  <si>
    <t>5</t>
  </si>
  <si>
    <t>6</t>
  </si>
  <si>
    <t>Thu từ quỹ đất công ích và đất công</t>
  </si>
  <si>
    <t>THU BỔ SUNG TỪ NGÂN SÁCH HUYỆN</t>
  </si>
  <si>
    <t>Bổ sung có mục tiêu</t>
  </si>
  <si>
    <t>TỔNG CHI NGÂN SÁCH XÃ, THỊ TRẤN</t>
  </si>
  <si>
    <t>CHI ĐẦU TƯ</t>
  </si>
  <si>
    <t>-</t>
  </si>
  <si>
    <t>Chi đầu tư XDCB từ nguồn đấu giá đất</t>
  </si>
  <si>
    <t>CHI THƯỜNG XUYÊN</t>
  </si>
  <si>
    <t>Quốc phòng</t>
  </si>
  <si>
    <t xml:space="preserve">Trong đó: - Phụ cấp hằng tháng cho thôn đội trưởng </t>
  </si>
  <si>
    <t xml:space="preserve"> - Kinh phí mở lớp đối tượng 4 tại xã </t>
  </si>
  <si>
    <t xml:space="preserve"> - Huấn luyện dân quân tự vệ</t>
  </si>
  <si>
    <t>Sự nghiệp văn hóa - thông tin</t>
  </si>
  <si>
    <t>Chi lương hưu và ĐBXH</t>
  </si>
  <si>
    <t>Sự nghiệp kinh tế</t>
  </si>
  <si>
    <t>Quản lý hành chính, đảng, đoàn thể</t>
  </si>
  <si>
    <t>Quỹ tiền lương</t>
  </si>
  <si>
    <t>DỰ PHÒNG NGÂN SÁCH</t>
  </si>
  <si>
    <t xml:space="preserve"> - Kinh phí đo đạc, đăng ký đất đai, cấp GCNQSD đất và xây dựng cơ sở dữ liệu đất đai  (Từ 10% thu tiền sử dụng đất, tiền thuê đất)</t>
  </si>
  <si>
    <t xml:space="preserve">Chi thường xuyên theo định mức </t>
  </si>
  <si>
    <t>Trong đó: - Kinh phí khen thưởng</t>
  </si>
  <si>
    <t xml:space="preserve"> - Xây dựng hệ thống quản lý tài liệu lưu trữ cơ quan và số hóa tài liệu</t>
  </si>
  <si>
    <t xml:space="preserve"> - Mua sắm tài sản</t>
  </si>
  <si>
    <t xml:space="preserve"> - Phần mềm kế toán hành chính sự nghiệp, Phần mềm quản lý ngân sách</t>
  </si>
  <si>
    <t xml:space="preserve"> Trong đó: Tiết kiệm 10% để thực hiện cải cách tiền lương</t>
  </si>
  <si>
    <t>Chi SN giáo dục-ĐT và dạy nghề</t>
  </si>
  <si>
    <t xml:space="preserve">                + Phí BVMT đối với nước thải</t>
  </si>
  <si>
    <t xml:space="preserve"> Trong đó: - Nghị định 105/2020/NĐ-CP</t>
  </si>
  <si>
    <t xml:space="preserve"> - Nghị định 81/2021/NĐ-CP</t>
  </si>
  <si>
    <t xml:space="preserve"> - Nghị định 116/2016/NĐ-CP</t>
  </si>
  <si>
    <t xml:space="preserve"> - Hỗ trợ học sinh dân tộc rất ít người theo Nghị định 57/2017/NĐ-CP</t>
  </si>
  <si>
    <t xml:space="preserve"> - Hỗ trợ học sinh khuyết tật theo TTLT 42/2013/TTTL-BGD ĐT-BLĐTBXH-BTC</t>
  </si>
  <si>
    <t>Trong đó: - Nghị định 81/2021/NĐ-CP 
(Miễn giảm học phí)</t>
  </si>
  <si>
    <t xml:space="preserve"> - Hỗ trợ phát triển đất trồng lúa</t>
  </si>
  <si>
    <t>Biểu số 03</t>
  </si>
  <si>
    <t>Xã Quài Tở</t>
  </si>
  <si>
    <t>C</t>
  </si>
  <si>
    <t>D</t>
  </si>
  <si>
    <t>Biểu số 02</t>
  </si>
  <si>
    <t>Biểu số 01</t>
  </si>
  <si>
    <t xml:space="preserve"> - Đã bao gồm 10% tiết kiệm năm 2022 để thực hiện CCTL là 9.444 triệu đồng.</t>
  </si>
  <si>
    <t xml:space="preserve"> - Bố trí 10% số thu tiền sử dụng đất, tiền thuê đất huyện hưởng theo quy định tại Nghị quyết số 07/2021/NQ-HĐND ngày 09/12/2021 của Hội đồng nhân dân tỉnh Điện Biên.</t>
  </si>
  <si>
    <t>2. Khối Đoàn thể</t>
  </si>
  <si>
    <t xml:space="preserve"> - Mặt trận tổ quốc: 140 triệu đồng, gồm: Tổng kết công tác mặt trận; hỗ trợ UVUB MTTQ huyện không hưởng lương từ ngân sách;  tiếp khách, đón tiếp, thăm hỏi, chúc mừng, tặng quà theo QĐ số 19/2016/QĐ-UBND của UBND tỉnh; thăm hỏi, tặng quà tết cho người có uy tín; công tác giám sát theo QĐ 217/QĐ-TW; kinh phí thực hiện cuộc vận động "Toàn dân đoàn kết xây dựng nông thôn mới, đô thị văn minh" theo TT 121/2017/TT-BTC; HN đối thoại và phản biện do MTTQ huyện chủ trì.</t>
  </si>
  <si>
    <t xml:space="preserve"> - Hội thanh niên xung phong: 20 triệu đồng, gồm: Kỷ niệm ngày truyền thống TNXP Việt Nam; tổng kết công tác hội.</t>
  </si>
  <si>
    <t xml:space="preserve"> - Hội phụ nữ: 117 triệu đồng, gồm: Tổng kết công tác hội; thăm và chúc tết đồn biên phòng Nậm Kè; tập huấn công tác giám sát, phản biện XH cho cán bộ hội; tổ chức hội thi nấu ăn ẩm thực miền Ban trắng lần thứ 3; đề án 938; đề án 939; </t>
  </si>
  <si>
    <t xml:space="preserve"> - Hội Nông dân: 48 triệu đồng, gồm: Tổng kết công tác hội; tổ chức Hội chợ giới thiệu nông sản</t>
  </si>
  <si>
    <t xml:space="preserve"> - Huyện đoàn: 215 triệu đồng, gồm: Tổng kết công tác đoàn; tổ chức ra quân tháng thanh niên; tập huấn nghiệp vụ công tác tổ chức Đại hội; Đại hội nhiệm kỳ 2022-2027; giải cầu lông truyền thống cán bộ đoàn; giải bóng đá truyền thống thanh niên.</t>
  </si>
  <si>
    <t xml:space="preserve"> - Hội Cựu chiến binh: 180 triệu đồng, gồm: Tổng kết công tác hội; tập huấn nghiệp vụ công tác tổ chức Đại hội; Đại hội nhiệm kỳ 2022-2027; tập huấn nghiệp vụ công tác hội cho cán bộ sau Đại hội.</t>
  </si>
  <si>
    <t xml:space="preserve"> - Hội đồng nhân nhân: 1.248 triệu đồng, gồm: Chế độ họp; xây dựng, thẩm tra báo cáo, đề án, dự thảo Nghị quyết; hoạt động giám sát; tiếp xúc cử tri; Thăm hỏi, công tác xã hội; Nghiên cứu tài liệu; Hỗ trợ thông tin; Khám, chăm sóc sức khỏe định kỳ; Hoạt động văn hóa, thể thao các ngày lễ trong năm; Bồi dưỡng nghiệp vụ công tác đại biểu.</t>
  </si>
  <si>
    <t xml:space="preserve"> - Ủy ban nhân dân: 1.550 triệu đồng, gồm: Hội nghị giao chỉ tiêu; dự khai giảng và 20/11 các trường học; dự các ngày kỷ niệm trong huyện và tỉnh; chi công tác xã hội (tặng quà, thăm hỏi, phúng viếng); chúc tết; giới thiệu thông tin trên báo, tạp chí; thuê bao đường truyền trực tuyến; sửa chữa, bảo hiểm và xăng xe ô tô; chi tiếp khách; đặc thù (công tác phí, văn phòng phẩm, sửa chữa máy móc thiết bị, ...).</t>
  </si>
  <si>
    <t xml:space="preserve"> - Hội chữ thập đỏ: 20 triệu đồng, tổ chức ngày hội hiến máu tình nguyện, tổ chức tiếp nhận máu.</t>
  </si>
  <si>
    <t>10. Phòng Nội vụ: 30 triệu đồng, gồm: Cải cách thủ tục hành chính; công tác tôn giáo; giải quyết tranh chấp.</t>
  </si>
  <si>
    <t>11. Phòng Văn hóa và Thông tin: 80 triệu đồng, gồm: Công tác gia đình, nếp sống văn hóa; tập huấn, tổng kết công tác văn hóa thông tin; kiểm tra văn hóa phẩm.</t>
  </si>
  <si>
    <t>4. Phòng Nông nghiệp và PTNT: 110 triệu đồng, gồm: Hỗ trợ ban chỉ huy PCTT-TKCN; giới thiệu thông tin trên báo, tạp chí; tập huấn kiến thức quản lý, vận hành khai thác công trình thủy lợi; hội nghị Đông Xuân.</t>
  </si>
  <si>
    <t>5. Phòng Tài chính - Kế hoạch: 20 triệu đồng, quản lý mạng Tabmis.</t>
  </si>
  <si>
    <t>6. Phòng Tài nguyên và MT: 20 triệu đồng, giải quyết tranh chấp, đơn thư lĩnh vực Tài nguyên và Môi trường.</t>
  </si>
  <si>
    <t>7. Thanh tra: 56 triệu đồng, gồm: trang phục thanh tra; kinh phí thực hiện thanh tra quản lý, sử dụng đất đai.</t>
  </si>
  <si>
    <t>8. Phòng Tư pháp: 60 triệu đồng, gồm: Kiểm tra, rà soát, thẩm định VBQPPL; Hội đồng phổ biến GDPL.</t>
  </si>
  <si>
    <t>9. Phòng Y tế: 120 triệu đồng, Khám tuyển nghĩa vụ quân sự, công an.</t>
  </si>
  <si>
    <t>12. Trung tâm chính trị: 600 triệu đồng, kinh phí mở các lớp đào tạo, bồi dưỡng.</t>
  </si>
  <si>
    <t>13. Trung tâm GDNN-GDTX: 20 triệu đồng, hợp đồng giáo viên dạy môn Sử, Địa.</t>
  </si>
  <si>
    <t>3. Văn phòng HĐND-UBND</t>
  </si>
  <si>
    <t>1. Huyện ủy: 2.036 triệu đồng, gồm: Hội nghị tổng kết công tác Đảng và Hội nghị của các ban; xây dựng và thẩm định văn bản; sửa chữa, bảo hiểm và xăng xe ô tô; tiếp khách; thăm hỏi và phúng viếng; trang phục cơ yếu; mua tài liệu, tạp chí, ấn phẩm; Ban chỉ đạo 160; Ban chỉ đạo 35; Thông tin, thời sự của Ban Tuyên giáo; Phôi Quyết định kết nạp đảng viên và công nhận đảng viên chính thức; kiểm tra giám sát của Ban kiểm tra; đặc thù (công tác phí, văn phòng phẩm, sửa chữa máy móc thiết bị, ...)</t>
  </si>
  <si>
    <r>
      <t>Ghi chú</t>
    </r>
    <r>
      <rPr>
        <b/>
        <sz val="10"/>
        <rFont val="Times New Roman"/>
        <family val="1"/>
      </rPr>
      <t xml:space="preserve">: </t>
    </r>
  </si>
  <si>
    <t xml:space="preserve"> - Hội người cao tuổi: 56 triệu đồng, gồm: khung, phôi, giấy khen chúc thọ, mừng thọ; tham gia Hội thao Người cao tuổi cấp tỉnh.</t>
  </si>
  <si>
    <t xml:space="preserve"> - SN thể thao: 750 triệu đồng, gồm: Tổ chức Đại hội TDTT cấp huyện và tham gia Đại hội TDTT cấp tỉnh; tổ chức các hoạt động TDTT.</t>
  </si>
  <si>
    <t xml:space="preserve"> - SN Văn hóa - TT: 400 triệu đồng, gồm: các hoạt động văn hóa văn nghệ; hoạt động tuyên truyền cổ động trực quan; đội thông tin lưu động; sửa chữa, bảo hiểm và xăng xe ô tô; cổng chào điện tử.</t>
  </si>
  <si>
    <t xml:space="preserve"> - SN truyền thanh truyền hình: 700 triệu đồng, gồm: Bồi dưỡng hiện vật; nhuận bút; tiền điện sáng; sửa chữa tài sản phục vụ chuyên môn; kiểm định đánh giá chất lượng cột phát sóng.</t>
  </si>
  <si>
    <t>14. Trung tâm dịch vụ NN: 1.000 triệu đồng, gồm: Tiêm phòng định kỳ, phun tiêu độc khử trùng; Mô hình ứng dụng chế phẩm sinh học trong sản xuất lúa theo hướng hữu cơ và huấn luyện nông dân gắn với lớp TOT, IPM trên cây cà phê, dưa mèo; Tập huấn trồng trọt, chăn nuôi.</t>
  </si>
  <si>
    <t>15. Trung tâm văn hóa - truyền thanh - truyền hình</t>
  </si>
  <si>
    <t>T.tâm quản lý đất đai</t>
  </si>
  <si>
    <t>Ghi chú:</t>
  </si>
  <si>
    <t xml:space="preserve"> - Thực hiện chính sách tiền lương theo mức lương cơ sở 1,49 triệu đồng.</t>
  </si>
  <si>
    <t xml:space="preserve"> - Bao gồm 10% tiết kiệm năm 2022 để thực hiện cải cách tiền lương số tiền 1.210,0 triệu đồng.</t>
  </si>
  <si>
    <t xml:space="preserve"> - Định mức phân bổ chi thường xuyên đã bao gồm: </t>
  </si>
  <si>
    <t xml:space="preserve"> + Khen thưởng theo chế độ, thông tin liên lạc, công tác phí, hội nghị, văn phòng phẩm, thanh toán dịch vụ công cộng; đi tập huấn bồi dưỡng nghiệp vụ chuyên môn, chi thực hiện việc chỉ đạo kiểm tra, chi cho công tác tuyên truyền phổ biến giáo dục pháp luật, xây dựng và hoàn thiện rà soát các văn bản quy phạm pháp luật, công tác cải cách hành chính.</t>
  </si>
  <si>
    <t xml:space="preserve"> + Các khoản kinh phí mua sắm, thay thế, sửa chữa thường xuyên tài sản, công cụ, dụng cụ, trang thiết bị, phương tiện làm việc của đơn vị.</t>
  </si>
  <si>
    <t xml:space="preserve"> + Kinh phí hỗ trợ hoạt động của Ban thanh tra nhân dân cấp xã với mức hỗ trợ 05 triệu đồng/Ban/năm.</t>
  </si>
  <si>
    <t>Ủy ban nhân dân các xã, thị trấn căn cứ vào dự toán giao và tình hình thực tế trên địa bàn trình HĐND cùng cấp quyết định cho phù hợp</t>
  </si>
  <si>
    <t xml:space="preserve">Sự nghiệp GD - ĐT và dạy nghề </t>
  </si>
  <si>
    <t>Khoán kinh phí hoạt động các tổ chức chính trị xã hội</t>
  </si>
  <si>
    <t>Trong đó: Phụ cấp Công an xã bán CT</t>
  </si>
  <si>
    <t xml:space="preserve"> Trong đó: - Tiền điện, sửa chữa duy tu, bảo dưỡng đường điện, bóng điện …</t>
  </si>
  <si>
    <t xml:space="preserve"> - Diễn tập phòng thủ khu vực cấp huyện</t>
  </si>
  <si>
    <t xml:space="preserve"> - Hỗ trợ đại hội…..</t>
  </si>
  <si>
    <t>GIAO DỰ TOÁN THU NGÂN SÁCH NĂM 2023</t>
  </si>
  <si>
    <t>(Kèm theo Báo cáo số            /BC-UBND ngày       tháng 12 năm 2022 của UBND huyện Tuần Giáo)</t>
  </si>
  <si>
    <t>Thu từ doanh nghiệp Nhà nước trung ương</t>
  </si>
  <si>
    <t>Trong đó:  + Trung ương hưởng (70%)</t>
  </si>
  <si>
    <t xml:space="preserve">                 + Địa phương hưởng (30%)</t>
  </si>
  <si>
    <t>Trong đó: Phí, lệ phí trung ương hưởng</t>
  </si>
  <si>
    <t xml:space="preserve">                + Phí BVMT khai thác khoáng sản</t>
  </si>
  <si>
    <t>Trong đó: Phụ cấp hằng tháng Công an xã bán chuyên trách)</t>
  </si>
  <si>
    <t>An ninh</t>
  </si>
  <si>
    <t>7.1</t>
  </si>
  <si>
    <t>7.2</t>
  </si>
  <si>
    <t>7.3</t>
  </si>
  <si>
    <t xml:space="preserve"> - Quy hoạch sử đụng đất giai đoạn 2021-2030 và kế hoạch sử dụng đất năm 2023</t>
  </si>
  <si>
    <t>Cấp quyền</t>
  </si>
  <si>
    <t>Đấu giá</t>
  </si>
  <si>
    <t xml:space="preserve"> + Kinh phí hoạt động của cấp ủy Đảng; kinh phí hoạt động của HĐND cấp xã; Kinh phí hoạt động của tổ chức Đảng, đoàn thể, hỗ trợ hoạt động công tác đảng theo Quyết định số 99-QĐ/TW ngày 30 tháng 5 năm 2012 của Ban Chấp hành Trung ương Khoá XI; Đại hội theo nhiệm kỳ của các tổ chức chính trị xã hội và tất cả các khoản chi khác phục vụ hoạt động thường xuyên của các cơ quan, đơn vị cấp xã.</t>
  </si>
  <si>
    <t>GIAO DỰ TOÁN CHI NGÂN SÁCH NĂM 2023</t>
  </si>
  <si>
    <t>GIAO DỰ TOÁN THU, CHI NGÂN SÁCH XÃ, THỊ TRẤN NĂM 2023</t>
  </si>
  <si>
    <t>ĐÁNH GIÁ DỰ TOÁN THU NGÂN SÁCH NĂM 2022 VÀ DỰ TOÁN NĂM 2023</t>
  </si>
  <si>
    <t xml:space="preserve">Đơn vị tính: Triệu đồng </t>
  </si>
  <si>
    <t>Stt</t>
  </si>
  <si>
    <t>Nội dung</t>
  </si>
  <si>
    <t>Thực hiện năm 2021</t>
  </si>
  <si>
    <t>Dự toán giao đầu năm 2022</t>
  </si>
  <si>
    <t>Ước thực hiện năm 2022</t>
  </si>
  <si>
    <t>Dự toán năm 2023</t>
  </si>
  <si>
    <t>So sánh %</t>
  </si>
  <si>
    <t>ƯTH 2022/TH 2021</t>
  </si>
  <si>
    <t>ƯTH 2022/
DT 2022</t>
  </si>
  <si>
    <t>DT 2023/
 DT 2022</t>
  </si>
  <si>
    <t>5=3/1</t>
  </si>
  <si>
    <t>6=3/2</t>
  </si>
  <si>
    <t>7=4/2</t>
  </si>
  <si>
    <t>THU NSNN TRÊN ĐỊA BÀN</t>
  </si>
  <si>
    <t>Thu từ kinh tế quốc doanh</t>
  </si>
  <si>
    <t>Thuế GTGT</t>
  </si>
  <si>
    <t>Thuế thu nhập doanh nghiệp</t>
  </si>
  <si>
    <t>Thuế tài nguyên</t>
  </si>
  <si>
    <t>Thu từ khu vực CTN - ngoài quốc doanh</t>
  </si>
  <si>
    <t>Thu cấp quyền khai thác khoáng sản, tài nguyên nước</t>
  </si>
  <si>
    <t xml:space="preserve"> Trong đó: + Trung ương hưởng (70%)</t>
  </si>
  <si>
    <t xml:space="preserve">                  + Địa phương hưởng (30%)</t>
  </si>
  <si>
    <t>Tr.đó: - Phí BVMT khai thác khoáng sản</t>
  </si>
  <si>
    <t xml:space="preserve">         - Phí BVMT đối với nước thải</t>
  </si>
  <si>
    <t>- Thu cấp quyền sử dụng đất</t>
  </si>
  <si>
    <t>- Thu từ đấu giá đất</t>
  </si>
  <si>
    <t>Thu tiền thuê mặt đất, mặt nước</t>
  </si>
  <si>
    <t xml:space="preserve"> - Thu khác còn lại (NS huyện hưởng)</t>
  </si>
  <si>
    <t>TỔNG THU NGÂN SÁCH ĐỊA PHƯƠNG</t>
  </si>
  <si>
    <t>Thu ngân sách huyện hưởng</t>
  </si>
  <si>
    <t>Thu bổ sung từ ngân sách cấp trên</t>
  </si>
  <si>
    <t xml:space="preserve"> - Bổ sung cân đối</t>
  </si>
  <si>
    <t xml:space="preserve"> - Bổ sung có mục tiêu</t>
  </si>
  <si>
    <t>Thu từ ngân sách cấp dưới nộp lên</t>
  </si>
  <si>
    <t>Thu chuyển nguồn</t>
  </si>
  <si>
    <t>Thu kết dư</t>
  </si>
  <si>
    <t>ĐÁNH GIÁ DỰ TOÁN CHI NGÂN SÁCH NĂM 2022 VÀ DỰ TOÁN NĂM 2023</t>
  </si>
  <si>
    <t>ẩn</t>
  </si>
  <si>
    <t>Tỉnh BS</t>
  </si>
  <si>
    <t>Chuyển nguồn</t>
  </si>
  <si>
    <t>Phát sinh tăng (DP, CK, cấp trên bổ sung)</t>
  </si>
  <si>
    <t>chi khác NS -&gt; để ĐƯ</t>
  </si>
  <si>
    <t>chi khác NS -&gt;  HC</t>
  </si>
  <si>
    <t>DP huyện -&gt; lấy theo BC DP</t>
  </si>
  <si>
    <t xml:space="preserve"> - Số liệu ước thực hiện</t>
  </si>
  <si>
    <t>DP xã -&gt; lấy theo BC DP -&gt; số còn lại để dòng DP =&gt; chưa sử dụng ( để CN)</t>
  </si>
  <si>
    <t xml:space="preserve"> + Đối với vốn đầu tư: số liệu theo biểu giải ngân của bộ phận kế hoạch trong BC phát triển KTXH + số liệu chuyển nguồn năm trước</t>
  </si>
  <si>
    <t>TỔNG CHI NGÂN SÁCH ĐỊA PHƯƠNG</t>
  </si>
  <si>
    <t xml:space="preserve"> + Đối với chi thường xuyên: số liệu cơ bản ước theo nguồn</t>
  </si>
  <si>
    <t xml:space="preserve"> =&gt; Thuyết minh lời</t>
  </si>
  <si>
    <t>Chi đầu tư từ XDCB vốn trong nước</t>
  </si>
  <si>
    <t xml:space="preserve"> =&gt; ước thực hiện năm đã bao gồm cả nguồn năm trước chuyển sang</t>
  </si>
  <si>
    <t xml:space="preserve"> =&gt; nguồn thu tiền sử dụng đất không đạt dự toán giao (12.000/ 20.000 triệu đồng)</t>
  </si>
  <si>
    <t>Chi đầu tư từ nguồn tăng thu hoạt động xổ số</t>
  </si>
  <si>
    <t>Chi đầu tư phát triển khác</t>
  </si>
  <si>
    <t>Chi SN giáo dục-ĐT &amp; dạy nghề</t>
  </si>
  <si>
    <t>Trong đó:</t>
  </si>
  <si>
    <t xml:space="preserve"> - HT theo NĐ 105/2020/NĐ-CP</t>
  </si>
  <si>
    <t xml:space="preserve"> - HT theo NĐ 81/2021/NĐ-CP</t>
  </si>
  <si>
    <t xml:space="preserve"> - HT học sinh bán trú theo NĐ 116/2016/NĐ-CP</t>
  </si>
  <si>
    <t xml:space="preserve"> - HT HS dân tộc rất ít người theo NĐ 57/2017/NĐ-CP</t>
  </si>
  <si>
    <t xml:space="preserve"> - HT học sinh khuyết tật theo TTLT 42/2013/TTTL-BGDĐT-BLĐTBXH-BTC</t>
  </si>
  <si>
    <t xml:space="preserve"> - Kinh phí phòng, chống dịch Covid-19 (Mua vật tư phòng, chống dịch; sửa chữa các khu cách ly, chốt kiểm dịch)</t>
  </si>
  <si>
    <t xml:space="preserve"> - Hỗ trợ SXNN</t>
  </si>
  <si>
    <t xml:space="preserve"> - Hỗ trợ đất trồng lúa theo NĐ số 35/2015/NĐ-CP</t>
  </si>
  <si>
    <t xml:space="preserve"> - Miễn thu thủy lợi phí</t>
  </si>
  <si>
    <t xml:space="preserve"> - Kinh phí đo đạc, đăng ký đất đai, cấp GCNQSD đất và xây dựng cơ sở dữ liệu đất đai</t>
  </si>
  <si>
    <t xml:space="preserve"> - Kinh phí giao đất, giao rừng, cấp giấy chứng nhận quyền sử dụng đất lâm nghiệp</t>
  </si>
  <si>
    <t xml:space="preserve"> - Chính sách phát triển cây Mắc ca theo hợp đồng liên kết sản xuất</t>
  </si>
  <si>
    <t xml:space="preserve"> - Vốn ủy thác cho vay đối với người nghèo và các đối tượng chính sách khác</t>
  </si>
  <si>
    <t xml:space="preserve">Chi quản lý hành chính, Đảng, Đoàn thể </t>
  </si>
  <si>
    <t xml:space="preserve"> Trong đó:</t>
  </si>
  <si>
    <t xml:space="preserve"> - Chính sách BTXH theo NĐ 20/2021/NĐ-CP</t>
  </si>
  <si>
    <t xml:space="preserve"> - Chính sách đối với người có uy tín</t>
  </si>
  <si>
    <t xml:space="preserve"> - Tiết kiệm 10% chi TX để thực hiện CCTL 2022</t>
  </si>
  <si>
    <t xml:space="preserve"> - Nguồn CCTL từ năm 2021 trở về trước chưa sử dụng chuyển sang</t>
  </si>
  <si>
    <t>CHƯƠNG TRÌNH MỤC TIÊU QUỐC GIA</t>
  </si>
  <si>
    <t>Chương trình giảm nghèo bền vững</t>
  </si>
  <si>
    <t>Vốn NSTW</t>
  </si>
  <si>
    <t xml:space="preserve"> - Vốn đầu tư</t>
  </si>
  <si>
    <t xml:space="preserve"> =&gt;  kế hoạch vốn năm 2022 huyện không được giao quản lý; số ước thực hiện năm là nguồn năm trước chuyển sang</t>
  </si>
  <si>
    <t xml:space="preserve"> - Vốn sự nghiệp</t>
  </si>
  <si>
    <t>Vốn NSĐP (Đối ứng)</t>
  </si>
  <si>
    <t>Chương trình xây dựng nông thôn mới</t>
  </si>
  <si>
    <t>Chương trình MTQG Phát triển KT-XH vùng đồng bào dân tộc thiểu số và miền núi</t>
  </si>
  <si>
    <t>CHI THỰC HIỆN MỘT SỐ MỤC TIÊU, NV KHÁC</t>
  </si>
  <si>
    <t>Vốn đầu tư</t>
  </si>
  <si>
    <t xml:space="preserve"> - Khắc phục HQTT năm 2020 (Nguồn DPNS TW)</t>
  </si>
  <si>
    <t xml:space="preserve"> =&gt;  số ước thực hiện năm là nguồn năm trước chuyển sang</t>
  </si>
  <si>
    <t xml:space="preserve"> - Kinh phí thực hiện đảm bảo trật tự ATGT</t>
  </si>
  <si>
    <t xml:space="preserve"> - Chương trình MT phát triển lâm nghiệp bền vững</t>
  </si>
  <si>
    <t>CHI NỘP TRẢ NGÂN SÁCH CẤP TRÊN</t>
  </si>
  <si>
    <t>CHI CHUYỂN NGUỒN</t>
  </si>
  <si>
    <t>Chi khác</t>
  </si>
  <si>
    <t>Tiết kiệm 10% để thực hiện cải cách tiền lương</t>
  </si>
  <si>
    <t>Biểu số 04</t>
  </si>
  <si>
    <t>Biểu số 05</t>
  </si>
  <si>
    <t>PHÒNG GIÁO DỤC VÀ ĐÀO TẠO</t>
  </si>
  <si>
    <t>THUYẾT MINH PHÂN BỔ CHI SỰ NGHIỆP GIÁO DỤC NĂM 2023</t>
  </si>
  <si>
    <t>Đơn vị : Triệu đồng</t>
  </si>
  <si>
    <t>TT</t>
  </si>
  <si>
    <t>GHI CHÚ</t>
  </si>
  <si>
    <t>TỔNG NGUỒN TÀI CHÍNH</t>
  </si>
  <si>
    <t>Dự toán NSNN giao</t>
  </si>
  <si>
    <t>Nguồn thu từ học phí</t>
  </si>
  <si>
    <t xml:space="preserve">B </t>
  </si>
  <si>
    <r>
      <t xml:space="preserve">DỰ TOÁN CHI </t>
    </r>
    <r>
      <rPr>
        <sz val="12"/>
        <rFont val="Times New Roman"/>
        <family val="1"/>
      </rPr>
      <t>(Đơn vị do NSNN đảm bảo kinh phí hoạt động)</t>
    </r>
  </si>
  <si>
    <r>
      <t xml:space="preserve">Chi từ nguồn thu được để lại </t>
    </r>
    <r>
      <rPr>
        <sz val="12"/>
        <rFont val="Times New Roman"/>
        <family val="1"/>
      </rPr>
      <t>(học phí của 3 trường thuộc thị trấn)</t>
    </r>
  </si>
  <si>
    <t xml:space="preserve"> - 40% để chi cải cách tiền lương</t>
  </si>
  <si>
    <t xml:space="preserve"> - 60% chi thường xuyên khác</t>
  </si>
  <si>
    <t>Chi từ nguồn NSNN cấp</t>
  </si>
  <si>
    <t>Bằng 10% tiết kiệm cải cách tiền lương (4.589 tr) + vốn chi ngân sách SNGD 3.1 (419.005 tr)</t>
  </si>
  <si>
    <t>II.1</t>
  </si>
  <si>
    <t>Phân bổ dự toán cho 62 trường trực thuộc Phòng GD&amp;ĐT</t>
  </si>
  <si>
    <t xml:space="preserve">Kinh phí chi thường xuyên giao tự chủ </t>
  </si>
  <si>
    <t>Nguồn tự chủ</t>
  </si>
  <si>
    <t>1.1</t>
  </si>
  <si>
    <r>
      <t xml:space="preserve">Chi lương và các khoản đóng góp theo lương </t>
    </r>
    <r>
      <rPr>
        <i/>
        <sz val="12"/>
        <rFont val="Times New Roman"/>
        <family val="1"/>
      </rPr>
      <t>(theo danh sách lương tháng 12/2022, mức lương cơ sở 1.490.000 đ)</t>
    </r>
  </si>
  <si>
    <t>1.2</t>
  </si>
  <si>
    <r>
      <t xml:space="preserve">Chi hoạt động chuyên môn và các chi phí khác </t>
    </r>
    <r>
      <rPr>
        <i/>
        <sz val="12"/>
        <rFont val="Times New Roman"/>
        <family val="1"/>
      </rPr>
      <t>(theo định mức 6 triệu đồng/người/năm, tổng số người hiện có là 1896)</t>
    </r>
  </si>
  <si>
    <t>Kinh phí thực hiện các chính sách cho học sinh, giáo viên</t>
  </si>
  <si>
    <t>Nguồn không tự chủ</t>
  </si>
  <si>
    <t>2.1</t>
  </si>
  <si>
    <t>Hỗ trợ theo Nghị định 105/2020/NĐ-CP</t>
  </si>
  <si>
    <t xml:space="preserve"> - Hỗ trợ trẻ ăn trưa từ 3-5 tuổi</t>
  </si>
  <si>
    <t xml:space="preserve"> - Hỗ trợ giáo viên Mầm non dạy lớp ghép, dạy tăng cường tiếng việt</t>
  </si>
  <si>
    <t xml:space="preserve">  - Hỗ trợ kinh phí tổ chức nấu ăn cho trẻ em mầm non</t>
  </si>
  <si>
    <t>2.2</t>
  </si>
  <si>
    <t>Hỗ trợ học sinh PTDT bán trú theo NĐ 116/2016/NĐ-CP</t>
  </si>
  <si>
    <t>2.3</t>
  </si>
  <si>
    <t>Thực hiện chính sách theo Nghị định 81/2021/NĐ-CP</t>
  </si>
  <si>
    <t xml:space="preserve">   + Chi phí học tập</t>
  </si>
  <si>
    <t xml:space="preserve">   + Miễn giảm học phí</t>
  </si>
  <si>
    <t>2.4</t>
  </si>
  <si>
    <t>Chính sách giáo dục người khuyết tật (TT 42)</t>
  </si>
  <si>
    <t>2.5</t>
  </si>
  <si>
    <t>Hỗ trợ HS dân tộc ít người theo NĐ 57/2017/NĐ-CP</t>
  </si>
  <si>
    <t>II.2</t>
  </si>
  <si>
    <t>Phân bổ dự toán chi SNGD cho Phòng Giáo dục &amp; ĐT (chi tại phòng)</t>
  </si>
  <si>
    <t>Chi sửa chữa, duy tu trường lớp học</t>
  </si>
  <si>
    <t>Tiếp chi các công trình sửa chữa của năm 2022</t>
  </si>
  <si>
    <t>Các công trình sửa chữa năm 2023</t>
  </si>
  <si>
    <t>Chi mua sắm trang thiết bị gồm:</t>
  </si>
  <si>
    <t>Các trường Mầm non</t>
  </si>
  <si>
    <t>Các trường Tiểu học</t>
  </si>
  <si>
    <t>Các trường THCS</t>
  </si>
  <si>
    <t>Dự kiến tiền lương của giáo viên tuyển dụng mới năm 2023</t>
  </si>
  <si>
    <t xml:space="preserve">Kinh phí để chi khen thưởng, các hoạt động giáo dục chung của toàn ngành </t>
  </si>
  <si>
    <t>4.1</t>
  </si>
  <si>
    <t xml:space="preserve">Kinh phí khen thưởng </t>
  </si>
  <si>
    <t>4.2</t>
  </si>
  <si>
    <t>Chi nâng bậc lương thường xuyên, sếp hạng giáo viên</t>
  </si>
  <si>
    <t>4.3</t>
  </si>
  <si>
    <t>Chi cho công tác phổ cập giáo dục, xóa mù chữ</t>
  </si>
  <si>
    <t>4.4</t>
  </si>
  <si>
    <t>Chi hoạt động chung toàn ngành năm 2023 (Hội khỏe phù đổng, thi giáo viên giỏi cấp tỉnh,  học sinh giỏi các môn văn hóa lớp 9, máy tính cầm tay, thi bé thông minh nhanh trí, các cuộc thi  đối với học sinh mầm non, tiểu học, THCS,….)</t>
  </si>
  <si>
    <t xml:space="preserve"> - Mầm non</t>
  </si>
  <si>
    <t xml:space="preserve"> - Tiểu học</t>
  </si>
  <si>
    <t xml:space="preserve"> - THCS</t>
  </si>
  <si>
    <t>Nguồn CCTL</t>
  </si>
  <si>
    <t>BIỂU CHI TIẾT PHÂN BỔ VỐN CHI SỰ NGHIỆP GIÁO DỤC ĐỂ SỬA CHỮA, DUY TU CÁC TRƯỜNG HỌC NĂM 2023</t>
  </si>
  <si>
    <t>Đơn vị: triệu đồng</t>
  </si>
  <si>
    <t>Tên công trình</t>
  </si>
  <si>
    <t xml:space="preserve">Địa điểm xây dựng </t>
  </si>
  <si>
    <t>TMĐT</t>
  </si>
  <si>
    <t>Kế hoạch vốn năm 2021</t>
  </si>
  <si>
    <t>Tổng Kế hoạch vốn năm 2021</t>
  </si>
  <si>
    <t>Khối lượng thực hiện</t>
  </si>
  <si>
    <t>Khối lượng giải ngân</t>
  </si>
  <si>
    <t>KH vốn bố trí năm 2023</t>
  </si>
  <si>
    <t>Ghi chú</t>
  </si>
  <si>
    <t>Số 2186, ngày 18/12/2020</t>
  </si>
  <si>
    <t>Số..., ngày .../.../...</t>
  </si>
  <si>
    <t>Năm 2020</t>
  </si>
  <si>
    <t xml:space="preserve">3 tháng </t>
  </si>
  <si>
    <t xml:space="preserve">6 Tháng </t>
  </si>
  <si>
    <t>Năm 2021</t>
  </si>
  <si>
    <t>Lũy kế từ khởi công</t>
  </si>
  <si>
    <t>TỔNG CỘNG</t>
  </si>
  <si>
    <t>Công trình tiếp chi năm 2022</t>
  </si>
  <si>
    <t>Sửa chữa Trường MN Nậm Din, THCS Phình Sáng</t>
  </si>
  <si>
    <t>Sửa chữa Trường MN Chiềng Sinh</t>
  </si>
  <si>
    <t>Sửa chữa Trường MN Bình Minh</t>
  </si>
  <si>
    <t>Sửa chữa Trường MN, TH số 1 Thị trấn</t>
  </si>
  <si>
    <t>Thị trấn</t>
  </si>
  <si>
    <t>Sửa chữa Trường  PTDT BT TH&amp;THCS Tênh phông</t>
  </si>
  <si>
    <t>Tênh Phông</t>
  </si>
  <si>
    <t>Sửa chữa Trường TH Mường Mùn</t>
  </si>
  <si>
    <t>Mường Mùn</t>
  </si>
  <si>
    <t xml:space="preserve">Sửa chữa Trường TH&amp;THCS Nà Sáy                                                          </t>
  </si>
  <si>
    <t>Nà Sáy</t>
  </si>
  <si>
    <t>Sửa chữa Trường THCS Mường Mùn</t>
  </si>
  <si>
    <t>Sửa chữa Trường PTDTBT THCS Mùn Chung</t>
  </si>
  <si>
    <t>Mùn Chung</t>
  </si>
  <si>
    <t>Sửa chữa Nhà làm việc  Phòng GD&amp;ĐT</t>
  </si>
  <si>
    <t>Công trình khởi công mới 2023</t>
  </si>
  <si>
    <t>Duy tu, Sửa chữa trường THCS Chiềng Sinh</t>
  </si>
  <si>
    <t>Duy tu, Sửa chữa trường THCS Quài Nưa</t>
  </si>
  <si>
    <t>Duy tu, Sửa chữa trường THCS Mường Khong</t>
  </si>
  <si>
    <t>Duy tu, Sửa chữa trường THCS Mường Thín</t>
  </si>
  <si>
    <t>Duy tu, sửa chữa trường TH Mùn Chung</t>
  </si>
  <si>
    <t>Duy tu, sửa chữa trường TH Số 1 Quài Nưa</t>
  </si>
  <si>
    <t>Duy tu, sửa chữa trường TH Số 2 Quài Nưa</t>
  </si>
  <si>
    <t>Duy tu, sửa chữa trường MN Mường Thín</t>
  </si>
  <si>
    <t>Duy tu, sửa chữa trường MN Nà Sáy</t>
  </si>
  <si>
    <t>Duy tu, sửa chữa trường MN Phình Sáng</t>
  </si>
  <si>
    <t>Duy tu, sửa chữa trường MN Ta Ma</t>
  </si>
  <si>
    <t>Duy tu, sửa chữa trường MN Mường Mùn</t>
  </si>
  <si>
    <t xml:space="preserve"> Xã Mường Mùn</t>
  </si>
  <si>
    <t>Biểu số 06</t>
  </si>
  <si>
    <t>Biểu số 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</si>
</sst>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3" formatCode="_(* #,##0.00_);_(* \(#,##0.00\);_(* &quot;-&quot;??_);_(@_)"/>
    <numFmt numFmtId="164" formatCode="_-* #,##0.00\ _₫_-;\-* #,##0.00\ _₫_-;_-* &quot;-&quot;??\ _₫_-;_-@_-"/>
    <numFmt numFmtId="165" formatCode="_(* #,##0.0_);_(* \(#,##0.0\);_(* &quot;-&quot;??_);_(@_)"/>
    <numFmt numFmtId="166" formatCode="_(* #,##0_);_(* \(#,##0\);_(* &quot;-&quot;??_);_(@_)"/>
    <numFmt numFmtId="167" formatCode="0.000%"/>
    <numFmt numFmtId="168" formatCode="&quot;$&quot;#,##0;[Red]\-&quot;$&quot;#,##0"/>
    <numFmt numFmtId="169" formatCode="_-&quot;$&quot;* #,##0_-;\-&quot;$&quot;* #,##0_-;_-&quot;$&quot;* &quot;-&quot;_-;_-@_-"/>
    <numFmt numFmtId="170" formatCode="_-* #,##0_-;\-* #,##0_-;_-* &quot;-&quot;_-;_-@_-"/>
    <numFmt numFmtId="171" formatCode="_-&quot;$&quot;* #,##0.00_-;\-&quot;$&quot;* #,##0.00_-;_-&quot;$&quot;* &quot;-&quot;??_-;_-@_-"/>
    <numFmt numFmtId="172" formatCode="00.000"/>
    <numFmt numFmtId="173" formatCode="&quot;￥&quot;#,##0;&quot;￥&quot;\-#,##0"/>
    <numFmt numFmtId="174" formatCode="#,##0\ &quot;DM&quot;;\-#,##0\ &quot;DM&quot;"/>
    <numFmt numFmtId="175" formatCode="_(* #,##0.0_);_(* \(#,##0.0\);_(* &quot;-&quot;?_);_(@_)"/>
    <numFmt numFmtId="176" formatCode="\$#,##0\ ;\(\$#,##0\)"/>
    <numFmt numFmtId="177" formatCode="&quot;\&quot;#,##0;[Red]&quot;\&quot;&quot;\&quot;\-#,##0"/>
    <numFmt numFmtId="178" formatCode="&quot;\&quot;#,##0.00;[Red]&quot;\&quot;&quot;\&quot;&quot;\&quot;&quot;\&quot;&quot;\&quot;&quot;\&quot;\-#,##0.00"/>
    <numFmt numFmtId="179" formatCode="_-* #,##0.00_-;\-* #,##0.00_-;_-* &quot;-&quot;??_-;_-@_-"/>
    <numFmt numFmtId="180" formatCode="0.00_)"/>
    <numFmt numFmtId="181" formatCode="#,##0\ &quot;F&quot;;[Red]\-#,##0\ &quot;F&quot;"/>
    <numFmt numFmtId="182" formatCode="#,##0.00\ &quot;F&quot;;\-#,##0.00\ &quot;F&quot;"/>
    <numFmt numFmtId="183" formatCode="#,##0.00\ &quot;F&quot;;[Red]\-#,##0.00\ &quot;F&quot;"/>
    <numFmt numFmtId="184" formatCode="_-* #,##0\ &quot;F&quot;_-;\-* #,##0\ &quot;F&quot;_-;_-* &quot;-&quot;\ &quot;F&quot;_-;_-@_-"/>
    <numFmt numFmtId="185" formatCode="#,##0.0"/>
    <numFmt numFmtId="186" formatCode="_(* #,##0.000_);_(* \(#,##0.000\);_(* &quot;-&quot;??_);_(@_)"/>
    <numFmt numFmtId="187" formatCode="#,##0.000"/>
    <numFmt numFmtId="188" formatCode="#,##0.000000"/>
    <numFmt numFmtId="189" formatCode="0.0%"/>
    <numFmt numFmtId="190" formatCode="_-* #,##0\ _€_-;\-* #,##0\ _€_-;_-* &quot;-&quot;??\ _€_-;_-@_-"/>
    <numFmt numFmtId="191" formatCode="_-* #,##0_-;\-* #,##0_-;_-* &quot;-&quot;??_-;_-@_-"/>
    <numFmt numFmtId="192" formatCode="_-* #,##0.0_-;\-* #,##0.0_-;_-* &quot;-&quot;??_-;_-@_-"/>
  </numFmts>
  <fonts count="66">
    <font>
      <sz val="10"/>
      <name val="Arial"/>
    </font>
    <font>
      <sz val="10"/>
      <name val="Arial"/>
      <family val="2"/>
    </font>
    <font>
      <sz val="10"/>
      <name val="Arial"/>
      <family val="2"/>
    </font>
    <font>
      <sz val="14"/>
      <name val="??"/>
      <family val="3"/>
      <charset val="129"/>
    </font>
    <font>
      <sz val="10"/>
      <name val="???"/>
      <family val="3"/>
      <charset val="129"/>
    </font>
    <font>
      <sz val="12"/>
      <name val="¹UAAA¼"/>
      <family val="3"/>
      <charset val="129"/>
    </font>
    <font>
      <b/>
      <sz val="12"/>
      <name val="Arial"/>
      <family val="2"/>
    </font>
    <font>
      <b/>
      <sz val="18"/>
      <name val="Arial"/>
      <family val="2"/>
    </font>
    <font>
      <sz val="12"/>
      <name val="Arial"/>
      <family val="2"/>
    </font>
    <font>
      <b/>
      <i/>
      <sz val="16"/>
      <name val="Helv"/>
    </font>
    <font>
      <sz val="13"/>
      <name val=".VnTime"/>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2"/>
      <name val="Courier"/>
      <family val="3"/>
    </font>
    <font>
      <sz val="10"/>
      <name val=" "/>
      <family val="1"/>
      <charset val="136"/>
    </font>
    <font>
      <sz val="12"/>
      <name val="Times New Roman"/>
      <family val="1"/>
    </font>
    <font>
      <sz val="14"/>
      <name val="Times New Roman"/>
      <family val="1"/>
    </font>
    <font>
      <sz val="10"/>
      <name val="??"/>
      <family val="3"/>
      <charset val="129"/>
    </font>
    <font>
      <sz val="11"/>
      <name val="Times New Roman"/>
      <family val="1"/>
    </font>
    <font>
      <sz val="10"/>
      <name val="Times New Roman"/>
      <family val="1"/>
    </font>
    <font>
      <b/>
      <sz val="12"/>
      <name val="Times New Roman"/>
      <family val="1"/>
    </font>
    <font>
      <i/>
      <sz val="12"/>
      <name val="Times New Roman"/>
      <family val="1"/>
    </font>
    <font>
      <sz val="14"/>
      <name val="Times New Roman"/>
      <family val="1"/>
    </font>
    <font>
      <sz val="9"/>
      <name val="Times New Roman"/>
      <family val="1"/>
    </font>
    <font>
      <sz val="8"/>
      <name val="Arial"/>
      <family val="2"/>
    </font>
    <font>
      <sz val="12"/>
      <name val=".VnTime"/>
      <family val="2"/>
    </font>
    <font>
      <b/>
      <sz val="11"/>
      <name val="Times New Roman"/>
      <family val="1"/>
    </font>
    <font>
      <b/>
      <sz val="14"/>
      <name val="Times New Roman"/>
      <family val="1"/>
    </font>
    <font>
      <i/>
      <sz val="11.5"/>
      <name val="Times New Roman"/>
      <family val="1"/>
    </font>
    <font>
      <b/>
      <sz val="9"/>
      <name val="Times New Roman"/>
      <family val="1"/>
    </font>
    <font>
      <b/>
      <sz val="8"/>
      <name val="Times New Roman"/>
      <family val="1"/>
    </font>
    <font>
      <b/>
      <u/>
      <sz val="11"/>
      <name val="Times New Roman"/>
      <family val="1"/>
    </font>
    <font>
      <b/>
      <u/>
      <sz val="9"/>
      <name val="Times New Roman"/>
      <family val="1"/>
    </font>
    <font>
      <u/>
      <sz val="12"/>
      <name val="Times New Roman"/>
      <family val="1"/>
    </font>
    <font>
      <u/>
      <sz val="9"/>
      <name val="Times New Roman"/>
      <family val="1"/>
    </font>
    <font>
      <sz val="9"/>
      <color indexed="81"/>
      <name val="Tahoma"/>
      <family val="2"/>
    </font>
    <font>
      <b/>
      <sz val="9"/>
      <color indexed="81"/>
      <name val="Tahoma"/>
      <family val="2"/>
    </font>
    <font>
      <i/>
      <sz val="14"/>
      <name val="Times New Roman"/>
      <family val="1"/>
    </font>
    <font>
      <sz val="10"/>
      <name val="Times New Roman"/>
      <family val="1"/>
      <charset val="163"/>
    </font>
    <font>
      <b/>
      <u/>
      <sz val="10"/>
      <name val="Times New Roman"/>
      <family val="1"/>
    </font>
    <font>
      <b/>
      <sz val="10"/>
      <name val="Times New Roman"/>
      <family val="1"/>
    </font>
    <font>
      <i/>
      <sz val="9"/>
      <name val="Times New Roman"/>
      <family val="1"/>
    </font>
    <font>
      <sz val="8"/>
      <name val="Times New Roman"/>
      <family val="1"/>
    </font>
    <font>
      <sz val="7"/>
      <name val="Times New Roman"/>
      <family val="1"/>
    </font>
    <font>
      <b/>
      <u/>
      <sz val="12"/>
      <name val="Times New Roman"/>
      <family val="1"/>
    </font>
    <font>
      <b/>
      <i/>
      <sz val="12"/>
      <name val="Times New Roman"/>
      <family val="1"/>
    </font>
    <font>
      <sz val="10"/>
      <name val="Arial"/>
      <family val="2"/>
    </font>
    <font>
      <i/>
      <sz val="13"/>
      <name val="Times New Roman"/>
      <family val="1"/>
    </font>
    <font>
      <b/>
      <sz val="11.5"/>
      <name val="Times New Roman"/>
      <family val="1"/>
    </font>
    <font>
      <sz val="11.5"/>
      <name val="Times New Roman"/>
      <family val="1"/>
    </font>
    <font>
      <sz val="11"/>
      <color indexed="8"/>
      <name val="Calibri"/>
      <family val="2"/>
    </font>
    <font>
      <sz val="14"/>
      <name val=".VnTime"/>
      <family val="2"/>
    </font>
    <font>
      <sz val="14"/>
      <color theme="0"/>
      <name val=".VnTime"/>
      <family val="2"/>
    </font>
    <font>
      <b/>
      <sz val="13"/>
      <name val="Times New Roman"/>
      <family val="1"/>
    </font>
    <font>
      <b/>
      <sz val="14"/>
      <name val=".VnTime"/>
      <family val="2"/>
    </font>
    <font>
      <b/>
      <sz val="14"/>
      <color theme="0"/>
      <name val=".VnTime"/>
      <family val="2"/>
    </font>
    <font>
      <b/>
      <sz val="12"/>
      <name val="Times New Roman"/>
      <family val="1"/>
      <charset val="163"/>
    </font>
    <font>
      <b/>
      <sz val="10"/>
      <name val="Times New Roman"/>
      <family val="1"/>
      <charset val="163"/>
    </font>
    <font>
      <sz val="11"/>
      <name val="Times New Roman"/>
      <family val="1"/>
      <charset val="163"/>
    </font>
    <font>
      <b/>
      <sz val="14"/>
      <name val=".VnTime"/>
      <family val="2"/>
      <charset val="163"/>
    </font>
    <font>
      <b/>
      <sz val="14"/>
      <color theme="0"/>
      <name val="Times New Roman"/>
      <family val="1"/>
    </font>
    <font>
      <b/>
      <sz val="16"/>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s>
  <cellStyleXfs count="64">
    <xf numFmtId="0" fontId="0" fillId="0" borderId="0"/>
    <xf numFmtId="178" fontId="2" fillId="0" borderId="0" applyFont="0" applyFill="0" applyBorder="0" applyAlignment="0" applyProtection="0"/>
    <xf numFmtId="0" fontId="3" fillId="0" borderId="0" applyFont="0" applyFill="0" applyBorder="0" applyAlignment="0" applyProtection="0"/>
    <xf numFmtId="177" fontId="2" fillId="0" borderId="0" applyFont="0" applyFill="0" applyBorder="0" applyAlignment="0" applyProtection="0"/>
    <xf numFmtId="40" fontId="3" fillId="0" borderId="0" applyFont="0" applyFill="0" applyBorder="0" applyAlignment="0" applyProtection="0"/>
    <xf numFmtId="38" fontId="3" fillId="0" borderId="0" applyFont="0" applyFill="0" applyBorder="0" applyAlignment="0" applyProtection="0"/>
    <xf numFmtId="10" fontId="2" fillId="0" borderId="0" applyFont="0" applyFill="0" applyBorder="0" applyAlignment="0" applyProtection="0"/>
    <xf numFmtId="0" fontId="4" fillId="0" borderId="0"/>
    <xf numFmtId="0" fontId="2"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43" fontId="1"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3" fontId="2" fillId="0" borderId="0" applyFont="0" applyFill="0" applyBorder="0" applyAlignment="0" applyProtection="0"/>
    <xf numFmtId="176"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xf numFmtId="0" fontId="6" fillId="0" borderId="0" applyNumberFormat="0" applyFill="0" applyBorder="0" applyAlignment="0" applyProtection="0"/>
    <xf numFmtId="0" fontId="26" fillId="0" borderId="0"/>
    <xf numFmtId="0" fontId="8" fillId="0" borderId="0" applyNumberFormat="0" applyFont="0" applyFill="0" applyAlignment="0"/>
    <xf numFmtId="180" fontId="9" fillId="0" borderId="0"/>
    <xf numFmtId="0" fontId="2" fillId="0" borderId="0"/>
    <xf numFmtId="0" fontId="29" fillId="0" borderId="0"/>
    <xf numFmtId="0" fontId="42" fillId="0" borderId="0"/>
    <xf numFmtId="0" fontId="19" fillId="0" borderId="0"/>
    <xf numFmtId="0" fontId="29" fillId="0" borderId="0"/>
    <xf numFmtId="0" fontId="19" fillId="0" borderId="0"/>
    <xf numFmtId="183" fontId="10" fillId="0" borderId="3">
      <alignment horizontal="right" vertical="center"/>
    </xf>
    <xf numFmtId="0" fontId="2" fillId="0" borderId="4" applyNumberFormat="0" applyFont="0" applyFill="0" applyAlignment="0" applyProtection="0"/>
    <xf numFmtId="184" fontId="10" fillId="0" borderId="3">
      <alignment horizontal="center"/>
    </xf>
    <xf numFmtId="181" fontId="10" fillId="0" borderId="0"/>
    <xf numFmtId="182" fontId="10" fillId="0" borderId="5"/>
    <xf numFmtId="0" fontId="18" fillId="0" borderId="0" applyFont="0" applyFill="0" applyBorder="0" applyAlignment="0" applyProtection="0"/>
    <xf numFmtId="0" fontId="18" fillId="0" borderId="0" applyFont="0" applyFill="0" applyBorder="0" applyAlignment="0" applyProtection="0"/>
    <xf numFmtId="0" fontId="19" fillId="0" borderId="0">
      <alignment vertical="center"/>
    </xf>
    <xf numFmtId="40" fontId="11" fillId="0" borderId="0" applyFont="0" applyFill="0" applyBorder="0" applyAlignment="0" applyProtection="0"/>
    <xf numFmtId="38"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9" fontId="12" fillId="0" borderId="0" applyFont="0" applyFill="0" applyBorder="0" applyAlignment="0" applyProtection="0"/>
    <xf numFmtId="0" fontId="13" fillId="0" borderId="0"/>
    <xf numFmtId="174" fontId="15" fillId="0" borderId="0" applyFont="0" applyFill="0" applyBorder="0" applyAlignment="0" applyProtection="0"/>
    <xf numFmtId="167" fontId="15" fillId="0" borderId="0" applyFont="0" applyFill="0" applyBorder="0" applyAlignment="0" applyProtection="0"/>
    <xf numFmtId="173" fontId="15" fillId="0" borderId="0" applyFont="0" applyFill="0" applyBorder="0" applyAlignment="0" applyProtection="0"/>
    <xf numFmtId="172" fontId="15" fillId="0" borderId="0" applyFont="0" applyFill="0" applyBorder="0" applyAlignment="0" applyProtection="0"/>
    <xf numFmtId="0" fontId="16" fillId="0" borderId="0"/>
    <xf numFmtId="0" fontId="8" fillId="0" borderId="0"/>
    <xf numFmtId="170" fontId="14" fillId="0" borderId="0" applyFont="0" applyFill="0" applyBorder="0" applyAlignment="0" applyProtection="0"/>
    <xf numFmtId="179" fontId="14" fillId="0" borderId="0" applyFont="0" applyFill="0" applyBorder="0" applyAlignment="0" applyProtection="0"/>
    <xf numFmtId="169" fontId="14" fillId="0" borderId="0" applyFont="0" applyFill="0" applyBorder="0" applyAlignment="0" applyProtection="0"/>
    <xf numFmtId="168" fontId="17" fillId="0" borderId="0" applyFont="0" applyFill="0" applyBorder="0" applyAlignment="0" applyProtection="0"/>
    <xf numFmtId="171" fontId="14" fillId="0" borderId="0" applyFont="0" applyFill="0" applyBorder="0" applyAlignment="0" applyProtection="0"/>
    <xf numFmtId="43" fontId="19" fillId="0" borderId="0" applyFont="0" applyFill="0" applyBorder="0" applyAlignment="0" applyProtection="0"/>
    <xf numFmtId="9" fontId="50" fillId="0" borderId="0" applyFont="0" applyFill="0" applyBorder="0" applyAlignment="0" applyProtection="0"/>
    <xf numFmtId="0" fontId="54" fillId="0" borderId="0"/>
    <xf numFmtId="0" fontId="1" fillId="0" borderId="0"/>
  </cellStyleXfs>
  <cellXfs count="426">
    <xf numFmtId="0" fontId="0" fillId="0" borderId="0" xfId="0"/>
    <xf numFmtId="0" fontId="2" fillId="0" borderId="0" xfId="8"/>
    <xf numFmtId="0" fontId="2" fillId="0" borderId="6" xfId="8" applyBorder="1"/>
    <xf numFmtId="0" fontId="21" fillId="0" borderId="7" xfId="8" applyFont="1" applyBorder="1"/>
    <xf numFmtId="0" fontId="21" fillId="0" borderId="8" xfId="8" applyFont="1" applyBorder="1"/>
    <xf numFmtId="0" fontId="2" fillId="0" borderId="8" xfId="8" applyBorder="1"/>
    <xf numFmtId="0" fontId="2" fillId="0" borderId="9" xfId="8" applyBorder="1"/>
    <xf numFmtId="0" fontId="20" fillId="0" borderId="0" xfId="0" applyFont="1"/>
    <xf numFmtId="0" fontId="19" fillId="0" borderId="0" xfId="0" applyFont="1"/>
    <xf numFmtId="0" fontId="20" fillId="0" borderId="0" xfId="0" applyFont="1" applyAlignment="1">
      <alignment horizontal="center"/>
    </xf>
    <xf numFmtId="0" fontId="19" fillId="0" borderId="0" xfId="0" applyFont="1" applyAlignment="1">
      <alignment horizontal="center"/>
    </xf>
    <xf numFmtId="0" fontId="24" fillId="0" borderId="0" xfId="0" applyFont="1"/>
    <xf numFmtId="0" fontId="19" fillId="0" borderId="5" xfId="0" applyFont="1" applyBorder="1"/>
    <xf numFmtId="3" fontId="20" fillId="0" borderId="0" xfId="0" applyNumberFormat="1" applyFont="1"/>
    <xf numFmtId="0" fontId="24" fillId="0" borderId="10" xfId="0" applyFont="1" applyBorder="1" applyAlignment="1">
      <alignment horizontal="center" vertical="center" wrapText="1"/>
    </xf>
    <xf numFmtId="3" fontId="19" fillId="0" borderId="0" xfId="0" applyNumberFormat="1" applyFont="1"/>
    <xf numFmtId="0" fontId="24" fillId="0" borderId="5" xfId="0" applyFont="1" applyBorder="1" applyAlignment="1">
      <alignment horizontal="left"/>
    </xf>
    <xf numFmtId="166" fontId="24" fillId="0" borderId="5" xfId="15" applyNumberFormat="1" applyFont="1" applyFill="1" applyBorder="1"/>
    <xf numFmtId="166" fontId="19" fillId="0" borderId="5" xfId="15" applyNumberFormat="1" applyFont="1" applyFill="1" applyBorder="1"/>
    <xf numFmtId="0" fontId="24" fillId="0" borderId="5" xfId="0" applyFont="1" applyBorder="1"/>
    <xf numFmtId="166" fontId="24" fillId="0" borderId="0" xfId="0" applyNumberFormat="1" applyFont="1" applyAlignment="1">
      <alignment horizontal="right"/>
    </xf>
    <xf numFmtId="0" fontId="24" fillId="0" borderId="0" xfId="0" applyFont="1" applyAlignment="1">
      <alignment horizontal="center"/>
    </xf>
    <xf numFmtId="166" fontId="19" fillId="0" borderId="0" xfId="0" applyNumberFormat="1" applyFont="1" applyAlignment="1">
      <alignment horizontal="right"/>
    </xf>
    <xf numFmtId="166" fontId="24" fillId="0" borderId="0" xfId="0" applyNumberFormat="1" applyFont="1"/>
    <xf numFmtId="0" fontId="19" fillId="0" borderId="5" xfId="0" applyFont="1" applyBorder="1" applyAlignment="1">
      <alignment horizontal="center"/>
    </xf>
    <xf numFmtId="166" fontId="24" fillId="0" borderId="5" xfId="0" applyNumberFormat="1" applyFont="1" applyBorder="1" applyAlignment="1">
      <alignment horizontal="center"/>
    </xf>
    <xf numFmtId="0" fontId="24" fillId="0" borderId="10" xfId="0" applyFont="1" applyBorder="1" applyAlignment="1">
      <alignment horizontal="center" vertical="center"/>
    </xf>
    <xf numFmtId="0" fontId="19" fillId="0" borderId="5" xfId="0" applyFont="1" applyBorder="1" applyAlignment="1">
      <alignment horizontal="center" vertical="center"/>
    </xf>
    <xf numFmtId="0" fontId="19" fillId="0" borderId="5" xfId="0" applyFont="1" applyBorder="1" applyAlignment="1">
      <alignment horizontal="center" vertical="center" wrapText="1"/>
    </xf>
    <xf numFmtId="166" fontId="24" fillId="0" borderId="0" xfId="0" applyNumberFormat="1" applyFont="1" applyAlignment="1">
      <alignment horizontal="center"/>
    </xf>
    <xf numFmtId="3" fontId="24" fillId="0" borderId="0" xfId="0" applyNumberFormat="1" applyFont="1"/>
    <xf numFmtId="0" fontId="24" fillId="0" borderId="5" xfId="0" applyFont="1" applyBorder="1" applyAlignment="1">
      <alignment horizontal="center"/>
    </xf>
    <xf numFmtId="0" fontId="25" fillId="0" borderId="0" xfId="0" applyFont="1" applyAlignment="1">
      <alignment horizontal="center"/>
    </xf>
    <xf numFmtId="3" fontId="19" fillId="2" borderId="0" xfId="0" applyNumberFormat="1" applyFont="1" applyFill="1"/>
    <xf numFmtId="166" fontId="19" fillId="0" borderId="5" xfId="0" applyNumberFormat="1" applyFont="1" applyBorder="1" applyAlignment="1">
      <alignment horizontal="center"/>
    </xf>
    <xf numFmtId="1" fontId="22" fillId="0" borderId="5" xfId="0" applyNumberFormat="1" applyFont="1" applyBorder="1" applyAlignment="1">
      <alignment horizontal="center" vertical="center" wrapText="1"/>
    </xf>
    <xf numFmtId="2" fontId="22" fillId="0" borderId="5" xfId="0" applyNumberFormat="1" applyFont="1" applyBorder="1" applyAlignment="1">
      <alignment horizontal="center" vertical="center" wrapText="1"/>
    </xf>
    <xf numFmtId="2" fontId="22" fillId="0" borderId="0" xfId="0" applyNumberFormat="1" applyFont="1" applyAlignment="1">
      <alignment horizontal="center" vertical="center" wrapText="1"/>
    </xf>
    <xf numFmtId="0" fontId="24" fillId="0" borderId="21" xfId="0" applyFont="1" applyBorder="1"/>
    <xf numFmtId="0" fontId="19" fillId="0" borderId="21" xfId="0" applyFont="1" applyBorder="1"/>
    <xf numFmtId="3" fontId="23" fillId="0" borderId="0" xfId="0" applyNumberFormat="1" applyFont="1"/>
    <xf numFmtId="188" fontId="23" fillId="0" borderId="0" xfId="0" applyNumberFormat="1" applyFont="1"/>
    <xf numFmtId="188" fontId="19" fillId="0" borderId="0" xfId="0" applyNumberFormat="1" applyFont="1"/>
    <xf numFmtId="185" fontId="19" fillId="0" borderId="0" xfId="0" applyNumberFormat="1" applyFont="1"/>
    <xf numFmtId="0" fontId="25" fillId="0" borderId="11" xfId="0" applyFont="1" applyBorder="1" applyAlignment="1">
      <alignment vertical="center"/>
    </xf>
    <xf numFmtId="2" fontId="25" fillId="0" borderId="11" xfId="0" applyNumberFormat="1" applyFont="1" applyBorder="1" applyAlignment="1">
      <alignment horizontal="center"/>
    </xf>
    <xf numFmtId="3" fontId="53" fillId="0" borderId="0" xfId="0" applyNumberFormat="1" applyFont="1"/>
    <xf numFmtId="0" fontId="53" fillId="0" borderId="0" xfId="0" applyFont="1"/>
    <xf numFmtId="3" fontId="22" fillId="0" borderId="0" xfId="0" applyNumberFormat="1" applyFont="1" applyAlignment="1">
      <alignment horizontal="center" vertical="center" wrapText="1"/>
    </xf>
    <xf numFmtId="3" fontId="22" fillId="0" borderId="0" xfId="0" applyNumberFormat="1" applyFont="1" applyAlignment="1">
      <alignment horizontal="right" vertical="center" wrapText="1"/>
    </xf>
    <xf numFmtId="185" fontId="22" fillId="0" borderId="0" xfId="0" applyNumberFormat="1" applyFont="1"/>
    <xf numFmtId="3" fontId="22" fillId="0" borderId="0" xfId="0" applyNumberFormat="1" applyFont="1"/>
    <xf numFmtId="0" fontId="48" fillId="0" borderId="21" xfId="0" applyFont="1" applyBorder="1" applyAlignment="1">
      <alignment horizontal="center"/>
    </xf>
    <xf numFmtId="0" fontId="48" fillId="0" borderId="21" xfId="0" applyFont="1" applyBorder="1" applyAlignment="1">
      <alignment horizontal="left" vertical="center" wrapText="1"/>
    </xf>
    <xf numFmtId="3" fontId="48" fillId="0" borderId="21" xfId="0" applyNumberFormat="1" applyFont="1" applyBorder="1" applyAlignment="1">
      <alignment horizontal="right"/>
    </xf>
    <xf numFmtId="9" fontId="48" fillId="0" borderId="10" xfId="61" applyFont="1" applyFill="1" applyBorder="1"/>
    <xf numFmtId="9" fontId="48" fillId="0" borderId="10" xfId="61" applyFont="1" applyFill="1" applyBorder="1" applyAlignment="1"/>
    <xf numFmtId="3" fontId="48" fillId="0" borderId="0" xfId="0" applyNumberFormat="1" applyFont="1"/>
    <xf numFmtId="0" fontId="48" fillId="0" borderId="0" xfId="0" applyFont="1"/>
    <xf numFmtId="3" fontId="48" fillId="0" borderId="21" xfId="0" applyNumberFormat="1" applyFont="1" applyBorder="1" applyAlignment="1">
      <alignment horizontal="center"/>
    </xf>
    <xf numFmtId="3" fontId="48" fillId="0" borderId="21" xfId="0" applyNumberFormat="1" applyFont="1" applyBorder="1" applyAlignment="1">
      <alignment horizontal="left"/>
    </xf>
    <xf numFmtId="9" fontId="48" fillId="0" borderId="21" xfId="61" applyFont="1" applyFill="1" applyBorder="1"/>
    <xf numFmtId="9" fontId="48" fillId="0" borderId="21" xfId="61" applyFont="1" applyFill="1" applyBorder="1" applyAlignment="1"/>
    <xf numFmtId="188" fontId="48" fillId="0" borderId="0" xfId="0" applyNumberFormat="1" applyFont="1"/>
    <xf numFmtId="3" fontId="24" fillId="0" borderId="21" xfId="0" applyNumberFormat="1" applyFont="1" applyBorder="1" applyAlignment="1">
      <alignment horizontal="center"/>
    </xf>
    <xf numFmtId="3" fontId="24" fillId="0" borderId="21" xfId="0" applyNumberFormat="1" applyFont="1" applyBorder="1" applyAlignment="1">
      <alignment horizontal="left"/>
    </xf>
    <xf numFmtId="3" fontId="24" fillId="0" borderId="21" xfId="0" applyNumberFormat="1" applyFont="1" applyBorder="1" applyAlignment="1">
      <alignment horizontal="right"/>
    </xf>
    <xf numFmtId="9" fontId="24" fillId="0" borderId="21" xfId="61" applyFont="1" applyFill="1" applyBorder="1"/>
    <xf numFmtId="9" fontId="24" fillId="0" borderId="21" xfId="61" applyFont="1" applyFill="1" applyBorder="1" applyAlignment="1"/>
    <xf numFmtId="188" fontId="24" fillId="0" borderId="0" xfId="0" applyNumberFormat="1" applyFont="1"/>
    <xf numFmtId="3" fontId="19" fillId="0" borderId="21" xfId="0" applyNumberFormat="1" applyFont="1" applyBorder="1" applyAlignment="1">
      <alignment horizontal="center"/>
    </xf>
    <xf numFmtId="3" fontId="19" fillId="0" borderId="21" xfId="0" applyNumberFormat="1" applyFont="1" applyBorder="1" applyAlignment="1">
      <alignment horizontal="left"/>
    </xf>
    <xf numFmtId="3" fontId="19" fillId="0" borderId="21" xfId="0" applyNumberFormat="1" applyFont="1" applyBorder="1" applyAlignment="1">
      <alignment horizontal="right"/>
    </xf>
    <xf numFmtId="9" fontId="19" fillId="0" borderId="21" xfId="61" applyFont="1" applyFill="1" applyBorder="1"/>
    <xf numFmtId="9" fontId="19" fillId="0" borderId="21" xfId="61" applyFont="1" applyFill="1" applyBorder="1" applyAlignment="1"/>
    <xf numFmtId="185" fontId="24" fillId="0" borderId="0" xfId="0" applyNumberFormat="1" applyFont="1"/>
    <xf numFmtId="3" fontId="19" fillId="0" borderId="21" xfId="0" applyNumberFormat="1" applyFont="1" applyBorder="1"/>
    <xf numFmtId="3" fontId="19" fillId="0" borderId="21" xfId="0" applyNumberFormat="1" applyFont="1" applyBorder="1" applyAlignment="1">
      <alignment wrapText="1"/>
    </xf>
    <xf numFmtId="3" fontId="24" fillId="0" borderId="21" xfId="0" applyNumberFormat="1" applyFont="1" applyBorder="1"/>
    <xf numFmtId="189" fontId="24" fillId="0" borderId="21" xfId="61" applyNumberFormat="1" applyFont="1" applyFill="1" applyBorder="1" applyAlignment="1"/>
    <xf numFmtId="3" fontId="19" fillId="0" borderId="21" xfId="0" applyNumberFormat="1" applyFont="1" applyBorder="1" applyAlignment="1">
      <alignment horizontal="left" wrapText="1"/>
    </xf>
    <xf numFmtId="3" fontId="19" fillId="0" borderId="21" xfId="0" applyNumberFormat="1" applyFont="1" applyBorder="1" applyAlignment="1">
      <alignment horizontal="right" wrapText="1"/>
    </xf>
    <xf numFmtId="3" fontId="19" fillId="0" borderId="23" xfId="0" applyNumberFormat="1" applyFont="1" applyBorder="1" applyAlignment="1">
      <alignment horizontal="right" wrapText="1"/>
    </xf>
    <xf numFmtId="3" fontId="19" fillId="0" borderId="23" xfId="0" applyNumberFormat="1" applyFont="1" applyBorder="1" applyAlignment="1">
      <alignment horizontal="right"/>
    </xf>
    <xf numFmtId="9" fontId="37" fillId="0" borderId="21" xfId="61" applyFont="1" applyFill="1" applyBorder="1"/>
    <xf numFmtId="9" fontId="37" fillId="0" borderId="21" xfId="61" applyFont="1" applyFill="1" applyBorder="1" applyAlignment="1"/>
    <xf numFmtId="3" fontId="48" fillId="0" borderId="21" xfId="0" applyNumberFormat="1" applyFont="1" applyBorder="1"/>
    <xf numFmtId="185" fontId="48" fillId="0" borderId="0" xfId="0" applyNumberFormat="1" applyFont="1"/>
    <xf numFmtId="3" fontId="19" fillId="0" borderId="24" xfId="0" applyNumberFormat="1" applyFont="1" applyBorder="1" applyAlignment="1">
      <alignment horizontal="right"/>
    </xf>
    <xf numFmtId="3" fontId="24" fillId="0" borderId="21" xfId="0" applyNumberFormat="1" applyFont="1" applyBorder="1" applyAlignment="1">
      <alignment horizontal="left" wrapText="1"/>
    </xf>
    <xf numFmtId="3" fontId="48" fillId="0" borderId="22" xfId="0" applyNumberFormat="1" applyFont="1" applyBorder="1" applyAlignment="1">
      <alignment horizontal="center"/>
    </xf>
    <xf numFmtId="3" fontId="48" fillId="0" borderId="22" xfId="0" applyNumberFormat="1" applyFont="1" applyBorder="1" applyAlignment="1">
      <alignment horizontal="left"/>
    </xf>
    <xf numFmtId="3" fontId="48" fillId="0" borderId="22" xfId="0" applyNumberFormat="1" applyFont="1" applyBorder="1" applyAlignment="1">
      <alignment horizontal="right"/>
    </xf>
    <xf numFmtId="9" fontId="48" fillId="0" borderId="22" xfId="61" applyFont="1" applyFill="1" applyBorder="1"/>
    <xf numFmtId="9" fontId="19" fillId="0" borderId="22" xfId="61" applyFont="1" applyFill="1" applyBorder="1" applyAlignment="1"/>
    <xf numFmtId="0" fontId="19" fillId="0" borderId="0" xfId="62" applyFont="1" applyAlignment="1">
      <alignment horizontal="center" vertical="center"/>
    </xf>
    <xf numFmtId="0" fontId="19" fillId="0" borderId="0" xfId="62" applyFont="1" applyAlignment="1">
      <alignment vertical="center"/>
    </xf>
    <xf numFmtId="166" fontId="19" fillId="0" borderId="0" xfId="60" applyNumberFormat="1" applyFont="1" applyFill="1" applyAlignment="1">
      <alignment vertical="center"/>
    </xf>
    <xf numFmtId="0" fontId="19" fillId="0" borderId="0" xfId="62" applyFont="1"/>
    <xf numFmtId="166" fontId="19" fillId="0" borderId="0" xfId="62" applyNumberFormat="1" applyFont="1" applyAlignment="1">
      <alignment horizontal="center" vertical="center"/>
    </xf>
    <xf numFmtId="0" fontId="24" fillId="0" borderId="0" xfId="62" applyFont="1" applyAlignment="1">
      <alignment horizontal="center" vertical="center"/>
    </xf>
    <xf numFmtId="188" fontId="24" fillId="0" borderId="0" xfId="62" applyNumberFormat="1" applyFont="1" applyAlignment="1">
      <alignment horizontal="center" vertical="center"/>
    </xf>
    <xf numFmtId="188" fontId="19" fillId="0" borderId="0" xfId="60" applyNumberFormat="1" applyFont="1" applyFill="1"/>
    <xf numFmtId="185" fontId="24" fillId="0" borderId="0" xfId="62" applyNumberFormat="1" applyFont="1" applyAlignment="1">
      <alignment horizontal="center" vertical="center"/>
    </xf>
    <xf numFmtId="0" fontId="24" fillId="0" borderId="0" xfId="62" applyFont="1" applyAlignment="1">
      <alignment vertical="center"/>
    </xf>
    <xf numFmtId="175" fontId="19" fillId="0" borderId="0" xfId="62" applyNumberFormat="1" applyFont="1" applyAlignment="1">
      <alignment vertical="center"/>
    </xf>
    <xf numFmtId="0" fontId="19" fillId="0" borderId="0" xfId="62" applyFont="1" applyAlignment="1">
      <alignment vertical="center" wrapText="1"/>
    </xf>
    <xf numFmtId="3" fontId="19" fillId="0" borderId="0" xfId="62" applyNumberFormat="1" applyFont="1" applyAlignment="1">
      <alignment vertical="center" wrapText="1"/>
    </xf>
    <xf numFmtId="188" fontId="19" fillId="0" borderId="0" xfId="62" applyNumberFormat="1" applyFont="1" applyAlignment="1">
      <alignment vertical="center"/>
    </xf>
    <xf numFmtId="185" fontId="19" fillId="0" borderId="0" xfId="62" applyNumberFormat="1" applyFont="1" applyAlignment="1">
      <alignment vertical="center"/>
    </xf>
    <xf numFmtId="1" fontId="20" fillId="2" borderId="0" xfId="0" applyNumberFormat="1" applyFont="1" applyFill="1" applyAlignment="1">
      <alignment horizontal="center"/>
    </xf>
    <xf numFmtId="2" fontId="20" fillId="2" borderId="0" xfId="0" applyNumberFormat="1" applyFont="1" applyFill="1"/>
    <xf numFmtId="0" fontId="25" fillId="2" borderId="0" xfId="0" applyFont="1" applyFill="1" applyAlignment="1">
      <alignment horizontal="center"/>
    </xf>
    <xf numFmtId="2" fontId="41" fillId="2" borderId="11" xfId="0" applyNumberFormat="1" applyFont="1" applyFill="1" applyBorder="1" applyAlignment="1">
      <alignment horizontal="center"/>
    </xf>
    <xf numFmtId="2" fontId="41" fillId="2" borderId="0" xfId="0" applyNumberFormat="1" applyFont="1" applyFill="1" applyAlignment="1">
      <alignment horizontal="center"/>
    </xf>
    <xf numFmtId="2" fontId="52" fillId="2" borderId="0" xfId="0" applyNumberFormat="1" applyFont="1" applyFill="1" applyAlignment="1">
      <alignment horizontal="center" vertical="center" wrapText="1"/>
    </xf>
    <xf numFmtId="2" fontId="53" fillId="2" borderId="0" xfId="0" applyNumberFormat="1" applyFont="1" applyFill="1" applyAlignment="1">
      <alignment horizontal="center" vertical="center" wrapText="1"/>
    </xf>
    <xf numFmtId="0" fontId="52" fillId="2" borderId="0" xfId="0" applyFont="1" applyFill="1" applyAlignment="1">
      <alignment horizontal="center" vertical="center" wrapText="1"/>
    </xf>
    <xf numFmtId="1" fontId="22" fillId="2" borderId="5" xfId="0" applyNumberFormat="1" applyFont="1" applyFill="1" applyBorder="1" applyAlignment="1">
      <alignment horizontal="center" vertical="center" wrapText="1"/>
    </xf>
    <xf numFmtId="2" fontId="22" fillId="2" borderId="5" xfId="0" applyNumberFormat="1" applyFont="1" applyFill="1" applyBorder="1" applyAlignment="1">
      <alignment horizontal="center" vertical="center" wrapText="1"/>
    </xf>
    <xf numFmtId="1" fontId="22" fillId="2" borderId="0" xfId="0" applyNumberFormat="1" applyFont="1" applyFill="1" applyAlignment="1">
      <alignment horizontal="center" vertical="center" wrapText="1"/>
    </xf>
    <xf numFmtId="2" fontId="22" fillId="2" borderId="0" xfId="0" applyNumberFormat="1" applyFont="1" applyFill="1" applyAlignment="1">
      <alignment horizontal="center" vertical="center" wrapText="1"/>
    </xf>
    <xf numFmtId="1" fontId="48" fillId="2" borderId="21" xfId="0" applyNumberFormat="1" applyFont="1" applyFill="1" applyBorder="1" applyAlignment="1">
      <alignment horizontal="center"/>
    </xf>
    <xf numFmtId="2" fontId="48" fillId="2" borderId="21" xfId="0" applyNumberFormat="1" applyFont="1" applyFill="1" applyBorder="1"/>
    <xf numFmtId="166" fontId="48" fillId="2" borderId="21" xfId="17" applyNumberFormat="1" applyFont="1" applyFill="1" applyBorder="1" applyAlignment="1">
      <alignment horizontal="right"/>
    </xf>
    <xf numFmtId="9" fontId="48" fillId="2" borderId="21" xfId="61" applyFont="1" applyFill="1" applyBorder="1" applyAlignment="1">
      <alignment horizontal="right"/>
    </xf>
    <xf numFmtId="166" fontId="48" fillId="2" borderId="0" xfId="61" applyNumberFormat="1" applyFont="1" applyFill="1" applyBorder="1" applyAlignment="1">
      <alignment horizontal="right"/>
    </xf>
    <xf numFmtId="2" fontId="48" fillId="2" borderId="0" xfId="0" applyNumberFormat="1" applyFont="1" applyFill="1"/>
    <xf numFmtId="1" fontId="24" fillId="2" borderId="21" xfId="0" applyNumberFormat="1" applyFont="1" applyFill="1" applyBorder="1" applyAlignment="1">
      <alignment horizontal="center"/>
    </xf>
    <xf numFmtId="2" fontId="24" fillId="2" borderId="21" xfId="0" applyNumberFormat="1" applyFont="1" applyFill="1" applyBorder="1"/>
    <xf numFmtId="166" fontId="24" fillId="2" borderId="21" xfId="17" applyNumberFormat="1" applyFont="1" applyFill="1" applyBorder="1" applyAlignment="1">
      <alignment horizontal="right"/>
    </xf>
    <xf numFmtId="9" fontId="24" fillId="2" borderId="21" xfId="61" applyFont="1" applyFill="1" applyBorder="1" applyAlignment="1">
      <alignment horizontal="right"/>
    </xf>
    <xf numFmtId="9" fontId="24" fillId="2" borderId="0" xfId="61" applyFont="1" applyFill="1" applyBorder="1" applyAlignment="1">
      <alignment horizontal="right"/>
    </xf>
    <xf numFmtId="2" fontId="24" fillId="2" borderId="0" xfId="0" applyNumberFormat="1" applyFont="1" applyFill="1"/>
    <xf numFmtId="1" fontId="19" fillId="2" borderId="21" xfId="0" applyNumberFormat="1" applyFont="1" applyFill="1" applyBorder="1" applyAlignment="1">
      <alignment horizontal="center"/>
    </xf>
    <xf numFmtId="2" fontId="19" fillId="2" borderId="21" xfId="0" applyNumberFormat="1" applyFont="1" applyFill="1" applyBorder="1"/>
    <xf numFmtId="166" fontId="19" fillId="2" borderId="21" xfId="17" applyNumberFormat="1" applyFont="1" applyFill="1" applyBorder="1" applyAlignment="1">
      <alignment horizontal="right"/>
    </xf>
    <xf numFmtId="9" fontId="19" fillId="2" borderId="21" xfId="61" applyFont="1" applyFill="1" applyBorder="1" applyAlignment="1">
      <alignment horizontal="right"/>
    </xf>
    <xf numFmtId="9" fontId="19" fillId="2" borderId="0" xfId="61" applyFont="1" applyFill="1" applyBorder="1" applyAlignment="1">
      <alignment horizontal="right"/>
    </xf>
    <xf numFmtId="2" fontId="19" fillId="2" borderId="0" xfId="0" applyNumberFormat="1" applyFont="1" applyFill="1"/>
    <xf numFmtId="2" fontId="24" fillId="2" borderId="21" xfId="0" applyNumberFormat="1" applyFont="1" applyFill="1" applyBorder="1" applyAlignment="1">
      <alignment wrapText="1"/>
    </xf>
    <xf numFmtId="1" fontId="49" fillId="2" borderId="21" xfId="0" applyNumberFormat="1" applyFont="1" applyFill="1" applyBorder="1" applyAlignment="1">
      <alignment horizontal="center"/>
    </xf>
    <xf numFmtId="2" fontId="25" fillId="2" borderId="21" xfId="0" applyNumberFormat="1" applyFont="1" applyFill="1" applyBorder="1"/>
    <xf numFmtId="166" fontId="49" fillId="2" borderId="21" xfId="17" applyNumberFormat="1" applyFont="1" applyFill="1" applyBorder="1" applyAlignment="1">
      <alignment horizontal="right"/>
    </xf>
    <xf numFmtId="166" fontId="25" fillId="2" borderId="21" xfId="17" applyNumberFormat="1" applyFont="1" applyFill="1" applyBorder="1" applyAlignment="1">
      <alignment horizontal="right"/>
    </xf>
    <xf numFmtId="9" fontId="25" fillId="2" borderId="21" xfId="61" applyFont="1" applyFill="1" applyBorder="1" applyAlignment="1">
      <alignment horizontal="right"/>
    </xf>
    <xf numFmtId="9" fontId="49" fillId="2" borderId="0" xfId="61" applyFont="1" applyFill="1" applyBorder="1" applyAlignment="1">
      <alignment horizontal="right"/>
    </xf>
    <xf numFmtId="2" fontId="49" fillId="2" borderId="0" xfId="0" applyNumberFormat="1" applyFont="1" applyFill="1"/>
    <xf numFmtId="1" fontId="25" fillId="2" borderId="21" xfId="0" applyNumberFormat="1" applyFont="1" applyFill="1" applyBorder="1" applyAlignment="1">
      <alignment horizontal="center"/>
    </xf>
    <xf numFmtId="9" fontId="25" fillId="2" borderId="0" xfId="61" applyFont="1" applyFill="1" applyBorder="1" applyAlignment="1">
      <alignment horizontal="right"/>
    </xf>
    <xf numFmtId="3" fontId="25" fillId="2" borderId="0" xfId="0" applyNumberFormat="1" applyFont="1" applyFill="1"/>
    <xf numFmtId="2" fontId="25" fillId="2" borderId="0" xfId="0" applyNumberFormat="1" applyFont="1" applyFill="1"/>
    <xf numFmtId="9" fontId="19" fillId="2" borderId="0" xfId="61" applyFont="1" applyFill="1" applyBorder="1" applyAlignment="1">
      <alignment horizontal="left"/>
    </xf>
    <xf numFmtId="2" fontId="19" fillId="2" borderId="21" xfId="0" quotePrefix="1" applyNumberFormat="1" applyFont="1" applyFill="1" applyBorder="1"/>
    <xf numFmtId="1" fontId="24" fillId="2" borderId="21" xfId="0" applyNumberFormat="1" applyFont="1" applyFill="1" applyBorder="1" applyAlignment="1">
      <alignment horizontal="center" vertical="center"/>
    </xf>
    <xf numFmtId="2" fontId="25" fillId="2" borderId="21" xfId="0" applyNumberFormat="1" applyFont="1" applyFill="1" applyBorder="1" applyAlignment="1">
      <alignment wrapText="1"/>
    </xf>
    <xf numFmtId="9" fontId="48" fillId="2" borderId="0" xfId="61" applyFont="1" applyFill="1" applyBorder="1" applyAlignment="1">
      <alignment horizontal="right"/>
    </xf>
    <xf numFmtId="166" fontId="24" fillId="2" borderId="0" xfId="61" applyNumberFormat="1" applyFont="1" applyFill="1" applyBorder="1" applyAlignment="1">
      <alignment horizontal="right"/>
    </xf>
    <xf numFmtId="0" fontId="24" fillId="2" borderId="21" xfId="0" applyFont="1" applyFill="1" applyBorder="1" applyAlignment="1">
      <alignment horizontal="center"/>
    </xf>
    <xf numFmtId="0" fontId="24" fillId="2" borderId="21" xfId="0" applyFont="1" applyFill="1" applyBorder="1"/>
    <xf numFmtId="0" fontId="19" fillId="2" borderId="21" xfId="0" applyFont="1" applyFill="1" applyBorder="1"/>
    <xf numFmtId="0" fontId="24" fillId="2" borderId="22" xfId="0" applyFont="1" applyFill="1" applyBorder="1" applyAlignment="1">
      <alignment horizontal="center"/>
    </xf>
    <xf numFmtId="0" fontId="24" fillId="2" borderId="22" xfId="0" applyFont="1" applyFill="1" applyBorder="1"/>
    <xf numFmtId="166" fontId="24" fillId="2" borderId="22" xfId="17" applyNumberFormat="1" applyFont="1" applyFill="1" applyBorder="1" applyAlignment="1">
      <alignment horizontal="right"/>
    </xf>
    <xf numFmtId="9" fontId="24" fillId="2" borderId="22" xfId="61" applyFont="1" applyFill="1" applyBorder="1" applyAlignment="1">
      <alignment horizontal="right"/>
    </xf>
    <xf numFmtId="166" fontId="20" fillId="2" borderId="0" xfId="60" applyNumberFormat="1" applyFont="1" applyFill="1"/>
    <xf numFmtId="166" fontId="20" fillId="2" borderId="0" xfId="15" applyNumberFormat="1" applyFont="1" applyFill="1"/>
    <xf numFmtId="166" fontId="19" fillId="0" borderId="0" xfId="15" applyNumberFormat="1" applyFont="1" applyFill="1"/>
    <xf numFmtId="43" fontId="24" fillId="0" borderId="0" xfId="15" applyFont="1" applyFill="1"/>
    <xf numFmtId="0" fontId="31" fillId="2" borderId="0" xfId="0" applyFont="1" applyFill="1" applyAlignment="1">
      <alignment horizontal="center" wrapText="1"/>
    </xf>
    <xf numFmtId="0" fontId="51" fillId="2" borderId="0" xfId="0" applyFont="1" applyFill="1" applyAlignment="1">
      <alignment horizontal="center" wrapText="1"/>
    </xf>
    <xf numFmtId="166" fontId="20" fillId="2" borderId="0" xfId="60" applyNumberFormat="1" applyFont="1" applyFill="1" applyBorder="1"/>
    <xf numFmtId="166" fontId="22" fillId="2" borderId="5" xfId="60" applyNumberFormat="1" applyFont="1" applyFill="1" applyBorder="1" applyAlignment="1">
      <alignment horizontal="center" vertical="center" wrapText="1"/>
    </xf>
    <xf numFmtId="166" fontId="48" fillId="2" borderId="21" xfId="60" applyNumberFormat="1" applyFont="1" applyFill="1" applyBorder="1" applyAlignment="1">
      <alignment horizontal="right"/>
    </xf>
    <xf numFmtId="166" fontId="24" fillId="2" borderId="21" xfId="60" applyNumberFormat="1" applyFont="1" applyFill="1" applyBorder="1" applyAlignment="1">
      <alignment horizontal="right"/>
    </xf>
    <xf numFmtId="166" fontId="19" fillId="2" borderId="21" xfId="60" applyNumberFormat="1" applyFont="1" applyFill="1" applyBorder="1" applyAlignment="1">
      <alignment horizontal="right"/>
    </xf>
    <xf numFmtId="166" fontId="25" fillId="2" borderId="21" xfId="60" applyNumberFormat="1" applyFont="1" applyFill="1" applyBorder="1" applyAlignment="1">
      <alignment horizontal="right"/>
    </xf>
    <xf numFmtId="166" fontId="24" fillId="2" borderId="22" xfId="60" applyNumberFormat="1" applyFont="1" applyFill="1" applyBorder="1" applyAlignment="1">
      <alignment horizontal="right"/>
    </xf>
    <xf numFmtId="0" fontId="19" fillId="3" borderId="0" xfId="0" applyFont="1" applyFill="1"/>
    <xf numFmtId="187" fontId="19" fillId="0" borderId="0" xfId="0" applyNumberFormat="1" applyFont="1"/>
    <xf numFmtId="0" fontId="24" fillId="3" borderId="0" xfId="0" applyFont="1" applyFill="1" applyAlignment="1">
      <alignment horizontal="center"/>
    </xf>
    <xf numFmtId="0" fontId="25" fillId="0" borderId="11" xfId="0" applyFont="1" applyBorder="1" applyAlignment="1">
      <alignment horizontal="center" vertical="center"/>
    </xf>
    <xf numFmtId="185" fontId="53" fillId="0" borderId="0" xfId="0" applyNumberFormat="1" applyFont="1"/>
    <xf numFmtId="1" fontId="22" fillId="3" borderId="5" xfId="0" applyNumberFormat="1" applyFont="1" applyFill="1" applyBorder="1" applyAlignment="1">
      <alignment horizontal="center" vertical="center" wrapText="1"/>
    </xf>
    <xf numFmtId="2" fontId="22" fillId="3" borderId="5" xfId="0" applyNumberFormat="1" applyFont="1" applyFill="1" applyBorder="1" applyAlignment="1">
      <alignment horizontal="center" vertical="center" wrapText="1"/>
    </xf>
    <xf numFmtId="3" fontId="48" fillId="3" borderId="21" xfId="0" applyNumberFormat="1" applyFont="1" applyFill="1" applyBorder="1" applyAlignment="1">
      <alignment horizontal="right"/>
    </xf>
    <xf numFmtId="3" fontId="24" fillId="3" borderId="21" xfId="0" applyNumberFormat="1" applyFont="1" applyFill="1" applyBorder="1" applyAlignment="1">
      <alignment horizontal="right"/>
    </xf>
    <xf numFmtId="3" fontId="19" fillId="3" borderId="21" xfId="0" applyNumberFormat="1" applyFont="1" applyFill="1" applyBorder="1" applyAlignment="1">
      <alignment horizontal="right"/>
    </xf>
    <xf numFmtId="3" fontId="19" fillId="3" borderId="23" xfId="0" applyNumberFormat="1" applyFont="1" applyFill="1" applyBorder="1" applyAlignment="1">
      <alignment horizontal="right"/>
    </xf>
    <xf numFmtId="3" fontId="48" fillId="3" borderId="22" xfId="0" applyNumberFormat="1" applyFont="1" applyFill="1" applyBorder="1" applyAlignment="1">
      <alignment horizontal="right"/>
    </xf>
    <xf numFmtId="165" fontId="19" fillId="3" borderId="0" xfId="60" applyNumberFormat="1" applyFont="1" applyFill="1" applyAlignment="1">
      <alignment vertical="center"/>
    </xf>
    <xf numFmtId="0" fontId="19" fillId="3" borderId="0" xfId="62" applyFont="1" applyFill="1" applyAlignment="1">
      <alignment vertical="center"/>
    </xf>
    <xf numFmtId="186" fontId="19" fillId="3" borderId="0" xfId="60" applyNumberFormat="1" applyFont="1" applyFill="1" applyAlignment="1">
      <alignment vertical="center"/>
    </xf>
    <xf numFmtId="166" fontId="19" fillId="3" borderId="0" xfId="60" applyNumberFormat="1" applyFont="1" applyFill="1" applyAlignment="1">
      <alignment vertical="center"/>
    </xf>
    <xf numFmtId="166" fontId="19" fillId="0" borderId="0" xfId="62" applyNumberFormat="1" applyFont="1" applyAlignment="1">
      <alignment vertical="center"/>
    </xf>
    <xf numFmtId="3" fontId="22" fillId="0" borderId="0" xfId="0" applyNumberFormat="1" applyFont="1" applyAlignment="1">
      <alignment horizontal="center"/>
    </xf>
    <xf numFmtId="166" fontId="27" fillId="0" borderId="0" xfId="15" applyNumberFormat="1" applyFont="1" applyFill="1" applyAlignment="1">
      <alignment horizontal="center"/>
    </xf>
    <xf numFmtId="166" fontId="33" fillId="0" borderId="0" xfId="15" applyNumberFormat="1" applyFont="1" applyFill="1" applyBorder="1" applyAlignment="1"/>
    <xf numFmtId="166" fontId="44" fillId="0" borderId="11" xfId="15" applyNumberFormat="1" applyFont="1" applyFill="1" applyBorder="1" applyAlignment="1"/>
    <xf numFmtId="166" fontId="27" fillId="0" borderId="11" xfId="15" applyNumberFormat="1" applyFont="1" applyFill="1" applyBorder="1" applyAlignment="1"/>
    <xf numFmtId="166" fontId="27" fillId="0" borderId="0" xfId="15" applyNumberFormat="1" applyFont="1" applyFill="1"/>
    <xf numFmtId="3" fontId="33" fillId="0" borderId="5" xfId="0" applyNumberFormat="1" applyFont="1" applyBorder="1" applyAlignment="1">
      <alignment horizontal="center" vertical="center"/>
    </xf>
    <xf numFmtId="3" fontId="30" fillId="0" borderId="5" xfId="0" applyNumberFormat="1" applyFont="1" applyBorder="1" applyAlignment="1">
      <alignment horizontal="center" vertical="center"/>
    </xf>
    <xf numFmtId="3" fontId="30" fillId="0" borderId="5" xfId="0" applyNumberFormat="1" applyFont="1" applyBorder="1" applyAlignment="1">
      <alignment horizontal="center" vertical="center" wrapText="1"/>
    </xf>
    <xf numFmtId="3" fontId="33" fillId="0" borderId="5" xfId="0" applyNumberFormat="1" applyFont="1" applyBorder="1" applyAlignment="1">
      <alignment horizontal="center" vertical="center" wrapText="1"/>
    </xf>
    <xf numFmtId="3" fontId="34" fillId="0" borderId="5" xfId="0" applyNumberFormat="1" applyFont="1" applyBorder="1" applyAlignment="1">
      <alignment horizontal="center" vertical="center" wrapText="1"/>
    </xf>
    <xf numFmtId="3" fontId="30" fillId="0" borderId="0" xfId="0" applyNumberFormat="1" applyFont="1" applyAlignment="1">
      <alignment horizontal="center"/>
    </xf>
    <xf numFmtId="3" fontId="46" fillId="0" borderId="5" xfId="0" applyNumberFormat="1" applyFont="1" applyBorder="1" applyAlignment="1">
      <alignment horizontal="center" vertical="center"/>
    </xf>
    <xf numFmtId="3" fontId="46" fillId="0" borderId="5" xfId="0" applyNumberFormat="1" applyFont="1" applyBorder="1" applyAlignment="1">
      <alignment horizontal="center" vertical="center" wrapText="1"/>
    </xf>
    <xf numFmtId="3" fontId="47" fillId="0" borderId="5" xfId="0" applyNumberFormat="1" applyFont="1" applyBorder="1" applyAlignment="1">
      <alignment horizontal="center" vertical="center" wrapText="1"/>
    </xf>
    <xf numFmtId="3" fontId="46" fillId="0" borderId="0" xfId="0" applyNumberFormat="1" applyFont="1" applyAlignment="1">
      <alignment horizontal="center"/>
    </xf>
    <xf numFmtId="3" fontId="35" fillId="0" borderId="5" xfId="0" applyNumberFormat="1" applyFont="1" applyBorder="1" applyAlignment="1">
      <alignment horizontal="center"/>
    </xf>
    <xf numFmtId="3" fontId="36" fillId="0" borderId="5" xfId="0" applyNumberFormat="1" applyFont="1" applyBorder="1" applyAlignment="1">
      <alignment horizontal="left"/>
    </xf>
    <xf numFmtId="3" fontId="36" fillId="0" borderId="5" xfId="0" applyNumberFormat="1" applyFont="1" applyBorder="1"/>
    <xf numFmtId="3" fontId="37" fillId="0" borderId="0" xfId="0" applyNumberFormat="1" applyFont="1"/>
    <xf numFmtId="3" fontId="36" fillId="0" borderId="5" xfId="0" applyNumberFormat="1" applyFont="1" applyBorder="1" applyAlignment="1">
      <alignment horizontal="center"/>
    </xf>
    <xf numFmtId="3" fontId="33" fillId="0" borderId="5" xfId="0" applyNumberFormat="1" applyFont="1" applyBorder="1" applyAlignment="1">
      <alignment horizontal="center"/>
    </xf>
    <xf numFmtId="3" fontId="33" fillId="0" borderId="5" xfId="0" applyNumberFormat="1" applyFont="1" applyBorder="1" applyAlignment="1">
      <alignment horizontal="left"/>
    </xf>
    <xf numFmtId="3" fontId="33" fillId="0" borderId="5" xfId="0" applyNumberFormat="1" applyFont="1" applyBorder="1"/>
    <xf numFmtId="3" fontId="27" fillId="0" borderId="5" xfId="0" applyNumberFormat="1" applyFont="1" applyBorder="1" applyAlignment="1">
      <alignment horizontal="center"/>
    </xf>
    <xf numFmtId="3" fontId="27" fillId="0" borderId="5" xfId="0" applyNumberFormat="1" applyFont="1" applyBorder="1" applyAlignment="1">
      <alignment horizontal="left"/>
    </xf>
    <xf numFmtId="3" fontId="27" fillId="0" borderId="5" xfId="0" applyNumberFormat="1" applyFont="1" applyBorder="1"/>
    <xf numFmtId="3" fontId="27" fillId="0" borderId="5" xfId="0" applyNumberFormat="1" applyFont="1" applyBorder="1" applyAlignment="1">
      <alignment horizontal="left" wrapText="1"/>
    </xf>
    <xf numFmtId="3" fontId="38" fillId="0" borderId="5" xfId="0" applyNumberFormat="1" applyFont="1" applyBorder="1" applyAlignment="1">
      <alignment horizontal="right"/>
    </xf>
    <xf numFmtId="3" fontId="27" fillId="0" borderId="5" xfId="0" applyNumberFormat="1" applyFont="1" applyBorder="1" applyAlignment="1">
      <alignment horizontal="right"/>
    </xf>
    <xf numFmtId="3" fontId="27" fillId="0" borderId="5" xfId="0" quotePrefix="1" applyNumberFormat="1" applyFont="1" applyBorder="1" applyAlignment="1">
      <alignment horizontal="center"/>
    </xf>
    <xf numFmtId="0" fontId="27" fillId="0" borderId="5" xfId="0" applyFont="1" applyBorder="1"/>
    <xf numFmtId="3" fontId="27" fillId="0" borderId="0" xfId="0" applyNumberFormat="1" applyFont="1"/>
    <xf numFmtId="3" fontId="36" fillId="0" borderId="5" xfId="0" applyNumberFormat="1" applyFont="1" applyBorder="1" applyAlignment="1">
      <alignment horizontal="left" wrapText="1"/>
    </xf>
    <xf numFmtId="3" fontId="33" fillId="0" borderId="0" xfId="0" applyNumberFormat="1" applyFont="1"/>
    <xf numFmtId="3" fontId="27" fillId="0" borderId="0" xfId="0" applyNumberFormat="1" applyFont="1" applyAlignment="1">
      <alignment horizontal="center"/>
    </xf>
    <xf numFmtId="3" fontId="27" fillId="0" borderId="0" xfId="0" applyNumberFormat="1" applyFont="1" applyAlignment="1">
      <alignment horizontal="left"/>
    </xf>
    <xf numFmtId="3" fontId="27" fillId="0" borderId="0" xfId="0" applyNumberFormat="1" applyFont="1" applyAlignment="1">
      <alignment horizontal="right"/>
    </xf>
    <xf numFmtId="3" fontId="43" fillId="0" borderId="0" xfId="0" applyNumberFormat="1" applyFont="1" applyAlignment="1">
      <alignment horizontal="left"/>
    </xf>
    <xf numFmtId="3" fontId="23" fillId="0" borderId="0" xfId="0" applyNumberFormat="1" applyFont="1" applyAlignment="1">
      <alignment horizontal="center"/>
    </xf>
    <xf numFmtId="0" fontId="23" fillId="0" borderId="0" xfId="0" applyFont="1"/>
    <xf numFmtId="3" fontId="19" fillId="0" borderId="0" xfId="0" applyNumberFormat="1" applyFont="1" applyAlignment="1">
      <alignment horizontal="center"/>
    </xf>
    <xf numFmtId="166" fontId="19" fillId="0" borderId="0" xfId="17" applyNumberFormat="1" applyFont="1" applyFill="1" applyAlignment="1">
      <alignment horizontal="center" vertical="center" wrapText="1"/>
    </xf>
    <xf numFmtId="43" fontId="19" fillId="0" borderId="0" xfId="17" applyFont="1" applyFill="1" applyAlignment="1">
      <alignment vertical="center" wrapText="1"/>
    </xf>
    <xf numFmtId="166" fontId="19" fillId="0" borderId="0" xfId="17" applyNumberFormat="1" applyFont="1" applyFill="1" applyAlignment="1">
      <alignment horizontal="right" vertical="center" wrapText="1"/>
    </xf>
    <xf numFmtId="186" fontId="24" fillId="0" borderId="0" xfId="17" applyNumberFormat="1" applyFont="1" applyFill="1" applyBorder="1" applyAlignment="1">
      <alignment horizontal="center" wrapText="1"/>
    </xf>
    <xf numFmtId="186" fontId="19" fillId="0" borderId="0" xfId="17" applyNumberFormat="1" applyFont="1" applyFill="1" applyAlignment="1">
      <alignment vertical="center" wrapText="1"/>
    </xf>
    <xf numFmtId="186" fontId="25" fillId="0" borderId="0" xfId="17" applyNumberFormat="1" applyFont="1" applyFill="1" applyBorder="1" applyAlignment="1">
      <alignment horizontal="center" wrapText="1"/>
    </xf>
    <xf numFmtId="166" fontId="24" fillId="0" borderId="0" xfId="17" applyNumberFormat="1" applyFont="1" applyFill="1" applyAlignment="1">
      <alignment horizontal="center" vertical="center" wrapText="1"/>
    </xf>
    <xf numFmtId="43" fontId="24" fillId="0" borderId="0" xfId="17" applyFont="1" applyFill="1" applyAlignment="1">
      <alignment horizontal="center" vertical="center" wrapText="1"/>
    </xf>
    <xf numFmtId="166" fontId="24" fillId="0" borderId="0" xfId="17" applyNumberFormat="1" applyFont="1" applyFill="1" applyAlignment="1">
      <alignment horizontal="right" vertical="center" wrapText="1"/>
    </xf>
    <xf numFmtId="166" fontId="24" fillId="0" borderId="5" xfId="17" applyNumberFormat="1" applyFont="1" applyFill="1" applyBorder="1" applyAlignment="1">
      <alignment horizontal="center" vertical="center" wrapText="1"/>
    </xf>
    <xf numFmtId="43" fontId="24" fillId="0" borderId="5" xfId="17" applyFont="1" applyFill="1" applyBorder="1" applyAlignment="1">
      <alignment horizontal="center" vertical="center" wrapText="1"/>
    </xf>
    <xf numFmtId="166" fontId="30" fillId="0" borderId="5" xfId="17" applyNumberFormat="1" applyFont="1" applyFill="1" applyBorder="1" applyAlignment="1">
      <alignment horizontal="center" vertical="center" wrapText="1"/>
    </xf>
    <xf numFmtId="43" fontId="24" fillId="0" borderId="5" xfId="17" applyFont="1" applyFill="1" applyBorder="1" applyAlignment="1">
      <alignment vertical="center" wrapText="1"/>
    </xf>
    <xf numFmtId="166" fontId="24" fillId="0" borderId="5" xfId="17" applyNumberFormat="1" applyFont="1" applyFill="1" applyBorder="1" applyAlignment="1">
      <alignment horizontal="right" vertical="center" wrapText="1"/>
    </xf>
    <xf numFmtId="43" fontId="24" fillId="0" borderId="5" xfId="17" applyFont="1" applyFill="1" applyBorder="1" applyAlignment="1">
      <alignment horizontal="left" vertical="center" wrapText="1"/>
    </xf>
    <xf numFmtId="43" fontId="24" fillId="0" borderId="0" xfId="17" applyFont="1" applyFill="1" applyAlignment="1">
      <alignment vertical="center" wrapText="1"/>
    </xf>
    <xf numFmtId="43" fontId="19" fillId="0" borderId="5" xfId="17" quotePrefix="1" applyFont="1" applyFill="1" applyBorder="1" applyAlignment="1">
      <alignment horizontal="center" vertical="center" wrapText="1"/>
    </xf>
    <xf numFmtId="43" fontId="19" fillId="0" borderId="5" xfId="17" applyFont="1" applyFill="1" applyBorder="1" applyAlignment="1">
      <alignment vertical="center" wrapText="1"/>
    </xf>
    <xf numFmtId="166" fontId="19" fillId="0" borderId="5" xfId="17" applyNumberFormat="1" applyFont="1" applyFill="1" applyBorder="1" applyAlignment="1">
      <alignment horizontal="right" vertical="center" wrapText="1"/>
    </xf>
    <xf numFmtId="43" fontId="19" fillId="0" borderId="0" xfId="17" applyFont="1" applyFill="1" applyAlignment="1">
      <alignment horizontal="center" vertical="center" wrapText="1"/>
    </xf>
    <xf numFmtId="166" fontId="19" fillId="0" borderId="5" xfId="17" quotePrefix="1" applyNumberFormat="1" applyFont="1" applyFill="1" applyBorder="1" applyAlignment="1">
      <alignment horizontal="center" vertical="center" wrapText="1"/>
    </xf>
    <xf numFmtId="43" fontId="19" fillId="0" borderId="5" xfId="17" applyFont="1" applyFill="1" applyBorder="1" applyAlignment="1">
      <alignment horizontal="left" vertical="center" wrapText="1"/>
    </xf>
    <xf numFmtId="1" fontId="24" fillId="0" borderId="5" xfId="16" applyNumberFormat="1" applyFont="1" applyFill="1" applyBorder="1" applyAlignment="1">
      <alignment horizontal="center" vertical="center" wrapText="1"/>
    </xf>
    <xf numFmtId="166" fontId="24" fillId="0" borderId="5" xfId="16" applyNumberFormat="1" applyFont="1" applyFill="1" applyBorder="1" applyAlignment="1">
      <alignment horizontal="left" vertical="center" wrapText="1"/>
    </xf>
    <xf numFmtId="4" fontId="24" fillId="0" borderId="5" xfId="60" applyNumberFormat="1" applyFont="1" applyFill="1" applyBorder="1" applyAlignment="1">
      <alignment horizontal="right" vertical="center" wrapText="1"/>
    </xf>
    <xf numFmtId="166" fontId="19" fillId="0" borderId="5" xfId="16" quotePrefix="1" applyNumberFormat="1" applyFont="1" applyFill="1" applyBorder="1" applyAlignment="1">
      <alignment horizontal="center" vertical="center" wrapText="1"/>
    </xf>
    <xf numFmtId="166" fontId="19" fillId="0" borderId="5" xfId="16" applyNumberFormat="1" applyFont="1" applyFill="1" applyBorder="1" applyAlignment="1">
      <alignment horizontal="left" vertical="center" wrapText="1"/>
    </xf>
    <xf numFmtId="166" fontId="19" fillId="0" borderId="5" xfId="16" applyNumberFormat="1" applyFont="1" applyFill="1" applyBorder="1" applyAlignment="1">
      <alignment horizontal="center" vertical="center" wrapText="1"/>
    </xf>
    <xf numFmtId="1" fontId="24" fillId="0" borderId="5" xfId="16" quotePrefix="1" applyNumberFormat="1" applyFont="1" applyFill="1" applyBorder="1" applyAlignment="1">
      <alignment horizontal="center" vertical="center" wrapText="1"/>
    </xf>
    <xf numFmtId="3" fontId="24" fillId="0" borderId="5" xfId="17" quotePrefix="1" applyNumberFormat="1" applyFont="1" applyFill="1" applyBorder="1" applyAlignment="1">
      <alignment horizontal="center" vertical="center" wrapText="1"/>
    </xf>
    <xf numFmtId="166" fontId="24" fillId="0" borderId="5" xfId="15" applyNumberFormat="1" applyFont="1" applyFill="1" applyBorder="1" applyAlignment="1">
      <alignment horizontal="right" vertical="center" wrapText="1"/>
    </xf>
    <xf numFmtId="3" fontId="24" fillId="0" borderId="5" xfId="60" applyNumberFormat="1" applyFont="1" applyFill="1" applyBorder="1" applyAlignment="1">
      <alignment horizontal="right" vertical="center" wrapText="1"/>
    </xf>
    <xf numFmtId="3" fontId="24" fillId="0" borderId="5" xfId="17" applyNumberFormat="1" applyFont="1" applyFill="1" applyBorder="1" applyAlignment="1">
      <alignment horizontal="center" vertical="center" wrapText="1"/>
    </xf>
    <xf numFmtId="3" fontId="19" fillId="0" borderId="5" xfId="17" applyNumberFormat="1" applyFont="1" applyFill="1" applyBorder="1" applyAlignment="1">
      <alignment horizontal="center" vertical="center" wrapText="1"/>
    </xf>
    <xf numFmtId="166" fontId="23" fillId="0" borderId="0" xfId="15" applyNumberFormat="1" applyFont="1" applyFill="1" applyAlignment="1">
      <alignment horizontal="center" vertical="center" wrapText="1"/>
    </xf>
    <xf numFmtId="43" fontId="23" fillId="0" borderId="0" xfId="15" applyFont="1" applyFill="1" applyAlignment="1">
      <alignment horizontal="right" vertical="center" wrapText="1"/>
    </xf>
    <xf numFmtId="43" fontId="23" fillId="0" borderId="0" xfId="15" applyFont="1" applyFill="1" applyBorder="1" applyAlignment="1">
      <alignment vertical="center" wrapText="1"/>
    </xf>
    <xf numFmtId="43" fontId="23" fillId="0" borderId="0" xfId="15" applyFont="1" applyFill="1" applyAlignment="1">
      <alignment vertical="center" wrapText="1"/>
    </xf>
    <xf numFmtId="0" fontId="24" fillId="0" borderId="0" xfId="0" applyFont="1" applyAlignment="1">
      <alignment vertical="center"/>
    </xf>
    <xf numFmtId="0" fontId="20"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55" fillId="0" borderId="0" xfId="0" applyFont="1" applyAlignment="1">
      <alignment vertical="center"/>
    </xf>
    <xf numFmtId="0" fontId="56" fillId="0" borderId="0" xfId="0" applyFont="1" applyAlignment="1">
      <alignment vertical="center"/>
    </xf>
    <xf numFmtId="0" fontId="20" fillId="0" borderId="0" xfId="0" applyFont="1" applyAlignment="1">
      <alignment horizontal="right" vertical="center"/>
    </xf>
    <xf numFmtId="0" fontId="24" fillId="0" borderId="5" xfId="0" applyFont="1" applyBorder="1" applyAlignment="1">
      <alignment horizontal="center" vertical="center" wrapText="1"/>
    </xf>
    <xf numFmtId="0" fontId="24" fillId="0" borderId="5" xfId="0" applyFont="1" applyBorder="1" applyAlignment="1">
      <alignment horizontal="center" vertical="center"/>
    </xf>
    <xf numFmtId="0" fontId="24" fillId="0" borderId="5" xfId="0" applyFont="1" applyBorder="1" applyAlignment="1">
      <alignment horizontal="left" vertical="center"/>
    </xf>
    <xf numFmtId="190" fontId="24" fillId="0" borderId="5" xfId="15" applyNumberFormat="1" applyFont="1" applyFill="1" applyBorder="1" applyAlignment="1">
      <alignment horizontal="right" vertical="center"/>
    </xf>
    <xf numFmtId="0" fontId="44" fillId="0" borderId="5" xfId="0" applyFont="1" applyBorder="1" applyAlignment="1">
      <alignment horizontal="center" vertical="center"/>
    </xf>
    <xf numFmtId="0" fontId="19" fillId="0" borderId="5" xfId="0" applyFont="1" applyBorder="1" applyAlignment="1">
      <alignment horizontal="left" vertical="center"/>
    </xf>
    <xf numFmtId="190" fontId="19" fillId="0" borderId="5" xfId="15" applyNumberFormat="1" applyFont="1" applyFill="1" applyBorder="1" applyAlignment="1">
      <alignment horizontal="right" vertical="center"/>
    </xf>
    <xf numFmtId="0" fontId="23" fillId="0" borderId="5" xfId="0" applyFont="1" applyBorder="1" applyAlignment="1">
      <alignment horizontal="center" vertical="center"/>
    </xf>
    <xf numFmtId="0" fontId="58" fillId="0" borderId="0" xfId="0" applyFont="1" applyAlignment="1">
      <alignment vertical="center"/>
    </xf>
    <xf numFmtId="0" fontId="59" fillId="0" borderId="0" xfId="0" applyFont="1" applyAlignment="1">
      <alignment vertical="center"/>
    </xf>
    <xf numFmtId="0" fontId="19" fillId="0" borderId="5" xfId="0" applyFont="1" applyBorder="1" applyAlignment="1">
      <alignment vertical="center"/>
    </xf>
    <xf numFmtId="0" fontId="60" fillId="0" borderId="5" xfId="0" applyFont="1" applyBorder="1" applyAlignment="1">
      <alignment horizontal="center" vertical="center"/>
    </xf>
    <xf numFmtId="0" fontId="60" fillId="0" borderId="5" xfId="0" applyFont="1" applyBorder="1" applyAlignment="1">
      <alignment vertical="center"/>
    </xf>
    <xf numFmtId="190" fontId="60" fillId="0" borderId="5" xfId="15" applyNumberFormat="1" applyFont="1" applyFill="1" applyBorder="1" applyAlignment="1">
      <alignment horizontal="right" vertical="center"/>
    </xf>
    <xf numFmtId="0" fontId="61" fillId="0" borderId="5" xfId="0" applyFont="1" applyBorder="1" applyAlignment="1">
      <alignment horizontal="center" vertical="center"/>
    </xf>
    <xf numFmtId="0" fontId="62" fillId="0" borderId="0" xfId="0" applyFont="1" applyAlignment="1">
      <alignment horizontal="center" vertical="center" wrapText="1"/>
    </xf>
    <xf numFmtId="0" fontId="63" fillId="0" borderId="0" xfId="0" applyFont="1" applyAlignment="1">
      <alignment vertical="center"/>
    </xf>
    <xf numFmtId="0" fontId="24" fillId="0" borderId="5" xfId="0" applyFont="1" applyBorder="1" applyAlignment="1">
      <alignment vertical="center"/>
    </xf>
    <xf numFmtId="0" fontId="19" fillId="0" borderId="5" xfId="0" applyFont="1" applyBorder="1" applyAlignment="1">
      <alignment vertical="center" wrapText="1"/>
    </xf>
    <xf numFmtId="190" fontId="55" fillId="0" borderId="0" xfId="0" applyNumberFormat="1" applyFont="1" applyAlignment="1">
      <alignment vertical="center"/>
    </xf>
    <xf numFmtId="0" fontId="44" fillId="0" borderId="5" xfId="0" applyFont="1" applyBorder="1" applyAlignment="1">
      <alignment horizontal="center" vertical="center" wrapText="1"/>
    </xf>
    <xf numFmtId="190" fontId="19" fillId="0" borderId="5" xfId="16" applyNumberFormat="1" applyFont="1" applyFill="1" applyBorder="1" applyAlignment="1">
      <alignment horizontal="right" vertical="center"/>
    </xf>
    <xf numFmtId="190" fontId="25" fillId="0" borderId="5" xfId="16" applyNumberFormat="1" applyFont="1" applyFill="1" applyBorder="1" applyAlignment="1">
      <alignment horizontal="right" vertical="center"/>
    </xf>
    <xf numFmtId="190" fontId="24" fillId="0" borderId="5" xfId="16" applyNumberFormat="1" applyFont="1" applyFill="1" applyBorder="1" applyAlignment="1">
      <alignment horizontal="right" vertical="center"/>
    </xf>
    <xf numFmtId="0" fontId="31" fillId="0" borderId="0" xfId="0" applyFont="1" applyAlignment="1">
      <alignment vertical="center"/>
    </xf>
    <xf numFmtId="0" fontId="64" fillId="0" borderId="0" xfId="0" applyFont="1" applyAlignment="1">
      <alignment vertical="center"/>
    </xf>
    <xf numFmtId="190" fontId="31" fillId="0" borderId="0" xfId="0" applyNumberFormat="1" applyFont="1" applyAlignment="1">
      <alignment vertical="center"/>
    </xf>
    <xf numFmtId="0" fontId="19" fillId="0" borderId="5" xfId="0" applyFont="1" applyBorder="1" applyAlignment="1">
      <alignment horizontal="left" vertical="center" wrapText="1"/>
    </xf>
    <xf numFmtId="0" fontId="19" fillId="0" borderId="5" xfId="0" quotePrefix="1" applyFont="1" applyBorder="1" applyAlignment="1">
      <alignment horizontal="center" vertical="center"/>
    </xf>
    <xf numFmtId="0" fontId="44" fillId="0" borderId="5" xfId="0" applyFont="1" applyBorder="1" applyAlignment="1">
      <alignment vertical="center"/>
    </xf>
    <xf numFmtId="0" fontId="31" fillId="0" borderId="0" xfId="0" applyFont="1" applyAlignment="1">
      <alignment horizontal="left" vertical="center"/>
    </xf>
    <xf numFmtId="0" fontId="24" fillId="0" borderId="0" xfId="0" applyFont="1" applyAlignment="1">
      <alignment horizontal="center" vertical="center"/>
    </xf>
    <xf numFmtId="190" fontId="19" fillId="0" borderId="0" xfId="0" applyNumberFormat="1" applyFont="1" applyAlignment="1">
      <alignment vertical="center"/>
    </xf>
    <xf numFmtId="186" fontId="19" fillId="0" borderId="0" xfId="16" applyNumberFormat="1" applyFont="1" applyFill="1" applyAlignment="1">
      <alignment vertical="center"/>
    </xf>
    <xf numFmtId="186" fontId="29" fillId="0" borderId="0" xfId="16" applyNumberFormat="1" applyFont="1" applyFill="1" applyAlignment="1">
      <alignment vertical="center"/>
    </xf>
    <xf numFmtId="0" fontId="29" fillId="0" borderId="0" xfId="0" applyFont="1" applyAlignment="1">
      <alignment horizontal="center" vertical="center"/>
    </xf>
    <xf numFmtId="0" fontId="29" fillId="0" borderId="0" xfId="0" applyFont="1" applyAlignment="1">
      <alignment vertical="center"/>
    </xf>
    <xf numFmtId="0" fontId="19" fillId="2" borderId="0" xfId="0" applyFont="1" applyFill="1" applyAlignment="1">
      <alignment vertical="center"/>
    </xf>
    <xf numFmtId="0" fontId="19" fillId="2" borderId="0" xfId="0" applyFont="1" applyFill="1" applyAlignment="1">
      <alignment horizontal="center" vertical="center"/>
    </xf>
    <xf numFmtId="0" fontId="65" fillId="2" borderId="0" xfId="0" applyFont="1" applyFill="1" applyAlignment="1">
      <alignment horizontal="right" vertical="center"/>
    </xf>
    <xf numFmtId="0" fontId="24" fillId="2" borderId="0" xfId="32" applyFont="1" applyFill="1" applyAlignment="1">
      <alignment vertical="center"/>
    </xf>
    <xf numFmtId="0" fontId="31" fillId="2" borderId="0" xfId="32" applyFont="1" applyFill="1" applyAlignment="1">
      <alignment horizontal="center" vertical="center"/>
    </xf>
    <xf numFmtId="0" fontId="49" fillId="2" borderId="11" xfId="32" applyFont="1" applyFill="1" applyBorder="1" applyAlignment="1">
      <alignment horizontal="center" vertical="center"/>
    </xf>
    <xf numFmtId="0" fontId="49" fillId="2" borderId="11" xfId="32" applyFont="1" applyFill="1" applyBorder="1" applyAlignment="1">
      <alignment vertical="center"/>
    </xf>
    <xf numFmtId="0" fontId="49" fillId="2" borderId="0" xfId="32" applyFont="1" applyFill="1" applyAlignment="1">
      <alignment vertical="center"/>
    </xf>
    <xf numFmtId="3" fontId="44" fillId="2" borderId="5" xfId="63" applyNumberFormat="1" applyFont="1" applyFill="1" applyBorder="1" applyAlignment="1">
      <alignment horizontal="center" vertical="center" wrapText="1"/>
    </xf>
    <xf numFmtId="0" fontId="19" fillId="2" borderId="0" xfId="32" applyFill="1"/>
    <xf numFmtId="3" fontId="44" fillId="2" borderId="15" xfId="63" applyNumberFormat="1" applyFont="1" applyFill="1" applyBorder="1" applyAlignment="1">
      <alignment horizontal="center" vertical="center" wrapText="1"/>
    </xf>
    <xf numFmtId="164" fontId="44" fillId="2" borderId="15" xfId="60" applyNumberFormat="1" applyFont="1" applyFill="1" applyBorder="1" applyAlignment="1">
      <alignment horizontal="center" vertical="center" wrapText="1"/>
    </xf>
    <xf numFmtId="0" fontId="30" fillId="2" borderId="5" xfId="32" applyFont="1" applyFill="1" applyBorder="1" applyAlignment="1">
      <alignment horizontal="center" vertical="center" wrapText="1"/>
    </xf>
    <xf numFmtId="191" fontId="30" fillId="2" borderId="5" xfId="15" applyNumberFormat="1" applyFont="1" applyFill="1" applyBorder="1" applyAlignment="1">
      <alignment vertical="center"/>
    </xf>
    <xf numFmtId="192" fontId="24" fillId="2" borderId="5" xfId="15" applyNumberFormat="1" applyFont="1" applyFill="1" applyBorder="1" applyAlignment="1">
      <alignment vertical="center"/>
    </xf>
    <xf numFmtId="0" fontId="30" fillId="2" borderId="5" xfId="32" applyFont="1" applyFill="1" applyBorder="1" applyAlignment="1">
      <alignment horizontal="left" vertical="center" wrapText="1"/>
    </xf>
    <xf numFmtId="192" fontId="24" fillId="2" borderId="25" xfId="15" applyNumberFormat="1" applyFont="1" applyFill="1" applyBorder="1" applyAlignment="1">
      <alignment vertical="center"/>
    </xf>
    <xf numFmtId="0" fontId="24" fillId="2" borderId="0" xfId="0" applyFont="1" applyFill="1" applyAlignment="1">
      <alignment vertical="center"/>
    </xf>
    <xf numFmtId="191" fontId="24" fillId="2" borderId="0" xfId="0" applyNumberFormat="1" applyFont="1" applyFill="1" applyAlignment="1">
      <alignment vertical="center"/>
    </xf>
    <xf numFmtId="3" fontId="22" fillId="2" borderId="5" xfId="32" applyNumberFormat="1" applyFont="1" applyFill="1" applyBorder="1" applyAlignment="1">
      <alignment horizontal="center" wrapText="1"/>
    </xf>
    <xf numFmtId="3" fontId="22" fillId="2" borderId="5" xfId="32" applyNumberFormat="1" applyFont="1" applyFill="1" applyBorder="1" applyAlignment="1">
      <alignment horizontal="left" wrapText="1"/>
    </xf>
    <xf numFmtId="0" fontId="22" fillId="2" borderId="5" xfId="32" applyFont="1" applyFill="1" applyBorder="1" applyAlignment="1">
      <alignment horizontal="center" vertical="center" wrapText="1"/>
    </xf>
    <xf numFmtId="191" fontId="22" fillId="2" borderId="5" xfId="17" applyNumberFormat="1" applyFont="1" applyFill="1" applyBorder="1" applyAlignment="1">
      <alignment vertical="center"/>
    </xf>
    <xf numFmtId="179" fontId="22" fillId="2" borderId="5" xfId="0" applyNumberFormat="1" applyFont="1" applyFill="1" applyBorder="1" applyAlignment="1">
      <alignment vertical="center"/>
    </xf>
    <xf numFmtId="0" fontId="22" fillId="2" borderId="5" xfId="0" applyFont="1" applyFill="1" applyBorder="1" applyAlignment="1">
      <alignment vertical="center"/>
    </xf>
    <xf numFmtId="191" fontId="22" fillId="2" borderId="5" xfId="0" applyNumberFormat="1" applyFont="1" applyFill="1" applyBorder="1" applyAlignment="1">
      <alignment horizontal="right" vertical="center"/>
    </xf>
    <xf numFmtId="0" fontId="19" fillId="2" borderId="25" xfId="0" applyFont="1" applyFill="1" applyBorder="1" applyAlignment="1">
      <alignment vertical="center"/>
    </xf>
    <xf numFmtId="179" fontId="19" fillId="2" borderId="0" xfId="0" applyNumberFormat="1" applyFont="1" applyFill="1" applyAlignment="1">
      <alignment vertical="center"/>
    </xf>
    <xf numFmtId="3" fontId="19" fillId="2" borderId="0" xfId="0" applyNumberFormat="1" applyFont="1" applyFill="1" applyAlignment="1">
      <alignment vertical="center"/>
    </xf>
    <xf numFmtId="0" fontId="22" fillId="2" borderId="5" xfId="0" applyFont="1" applyFill="1" applyBorder="1" applyAlignment="1">
      <alignment horizontal="center" vertical="center"/>
    </xf>
    <xf numFmtId="191" fontId="22" fillId="2" borderId="5" xfId="0" applyNumberFormat="1" applyFont="1" applyFill="1" applyBorder="1" applyAlignment="1">
      <alignment vertical="center"/>
    </xf>
    <xf numFmtId="3" fontId="30" fillId="2" borderId="5" xfId="32" applyNumberFormat="1" applyFont="1" applyFill="1" applyBorder="1" applyAlignment="1">
      <alignment horizontal="center" wrapText="1"/>
    </xf>
    <xf numFmtId="3" fontId="30" fillId="2" borderId="5" xfId="32" applyNumberFormat="1" applyFont="1" applyFill="1" applyBorder="1" applyAlignment="1">
      <alignment horizontal="left" wrapText="1"/>
    </xf>
    <xf numFmtId="191" fontId="30" fillId="2" borderId="5" xfId="15" applyNumberFormat="1" applyFont="1" applyFill="1" applyBorder="1" applyAlignment="1"/>
    <xf numFmtId="0" fontId="24" fillId="2" borderId="25" xfId="32" applyFont="1" applyFill="1" applyBorder="1" applyAlignment="1">
      <alignment horizontal="center"/>
    </xf>
    <xf numFmtId="0" fontId="24" fillId="2" borderId="0" xfId="32" applyFont="1" applyFill="1"/>
    <xf numFmtId="0" fontId="24" fillId="2" borderId="0" xfId="0" applyFont="1" applyFill="1"/>
    <xf numFmtId="3" fontId="24" fillId="2" borderId="0" xfId="0" applyNumberFormat="1" applyFont="1" applyFill="1"/>
    <xf numFmtId="0" fontId="22" fillId="0" borderId="5" xfId="0" applyFont="1" applyBorder="1" applyAlignment="1">
      <alignment vertical="center"/>
    </xf>
    <xf numFmtId="3" fontId="22" fillId="0" borderId="5" xfId="0" applyNumberFormat="1" applyFont="1" applyBorder="1" applyAlignment="1">
      <alignment vertical="center"/>
    </xf>
    <xf numFmtId="0" fontId="19" fillId="2" borderId="0" xfId="0" applyFont="1" applyFill="1" applyAlignment="1">
      <alignment horizontal="right" vertical="center"/>
    </xf>
    <xf numFmtId="0" fontId="52" fillId="2" borderId="13" xfId="0" applyFont="1" applyFill="1" applyBorder="1" applyAlignment="1">
      <alignment horizontal="center" vertical="center" wrapText="1"/>
    </xf>
    <xf numFmtId="0" fontId="52" fillId="2" borderId="15" xfId="0" applyFont="1" applyFill="1" applyBorder="1" applyAlignment="1">
      <alignment horizontal="center" vertical="center" wrapText="1"/>
    </xf>
    <xf numFmtId="0" fontId="19" fillId="2" borderId="0" xfId="0" applyFont="1" applyFill="1" applyAlignment="1">
      <alignment horizontal="center"/>
    </xf>
    <xf numFmtId="0" fontId="31" fillId="2" borderId="0" xfId="0" applyFont="1" applyFill="1" applyAlignment="1">
      <alignment horizontal="center" wrapText="1"/>
    </xf>
    <xf numFmtId="0" fontId="51" fillId="2" borderId="0" xfId="0" applyFont="1" applyFill="1" applyAlignment="1">
      <alignment horizontal="center" wrapText="1"/>
    </xf>
    <xf numFmtId="1" fontId="52" fillId="2" borderId="5" xfId="0" applyNumberFormat="1" applyFont="1" applyFill="1" applyBorder="1" applyAlignment="1">
      <alignment horizontal="center" vertical="center" wrapText="1"/>
    </xf>
    <xf numFmtId="2" fontId="52" fillId="2" borderId="5" xfId="0" applyNumberFormat="1" applyFont="1" applyFill="1" applyBorder="1" applyAlignment="1">
      <alignment horizontal="center" vertical="center" wrapText="1"/>
    </xf>
    <xf numFmtId="2" fontId="52" fillId="2" borderId="13" xfId="0" applyNumberFormat="1" applyFont="1" applyFill="1" applyBorder="1" applyAlignment="1">
      <alignment horizontal="center" vertical="center" wrapText="1"/>
    </xf>
    <xf numFmtId="2" fontId="52" fillId="2" borderId="18" xfId="0" applyNumberFormat="1" applyFont="1" applyFill="1" applyBorder="1" applyAlignment="1">
      <alignment horizontal="center" vertical="center" wrapText="1"/>
    </xf>
    <xf numFmtId="2" fontId="52" fillId="2" borderId="15" xfId="0" applyNumberFormat="1" applyFont="1" applyFill="1" applyBorder="1" applyAlignment="1">
      <alignment horizontal="center" vertical="center" wrapText="1"/>
    </xf>
    <xf numFmtId="2" fontId="52" fillId="2" borderId="17" xfId="0" applyNumberFormat="1" applyFont="1" applyFill="1" applyBorder="1" applyAlignment="1">
      <alignment horizontal="center" vertical="center" wrapText="1"/>
    </xf>
    <xf numFmtId="2" fontId="52" fillId="2" borderId="19" xfId="0" applyNumberFormat="1" applyFont="1" applyFill="1" applyBorder="1" applyAlignment="1">
      <alignment horizontal="center" vertical="center" wrapText="1"/>
    </xf>
    <xf numFmtId="2" fontId="52" fillId="2" borderId="20" xfId="0" applyNumberFormat="1" applyFont="1" applyFill="1" applyBorder="1" applyAlignment="1">
      <alignment horizontal="center" vertical="center" wrapText="1"/>
    </xf>
    <xf numFmtId="166" fontId="52" fillId="2" borderId="14" xfId="60" applyNumberFormat="1" applyFont="1" applyFill="1" applyBorder="1" applyAlignment="1">
      <alignment horizontal="center" vertical="center" wrapText="1"/>
    </xf>
    <xf numFmtId="166" fontId="52" fillId="2" borderId="12" xfId="60" applyNumberFormat="1" applyFont="1" applyFill="1" applyBorder="1" applyAlignment="1">
      <alignment horizontal="center" vertical="center" wrapText="1"/>
    </xf>
    <xf numFmtId="166" fontId="52" fillId="2" borderId="16" xfId="60" applyNumberFormat="1" applyFont="1" applyFill="1" applyBorder="1" applyAlignment="1">
      <alignment horizontal="center" vertical="center" wrapText="1"/>
    </xf>
    <xf numFmtId="0" fontId="19" fillId="0" borderId="0" xfId="0" applyFont="1" applyAlignment="1">
      <alignment horizontal="center"/>
    </xf>
    <xf numFmtId="3" fontId="24" fillId="0" borderId="0" xfId="33" applyNumberFormat="1" applyFont="1" applyAlignment="1">
      <alignment horizontal="center"/>
    </xf>
    <xf numFmtId="0" fontId="51" fillId="0" borderId="0" xfId="0" applyFont="1" applyAlignment="1">
      <alignment horizontal="center" wrapText="1"/>
    </xf>
    <xf numFmtId="1" fontId="52" fillId="0" borderId="5" xfId="0" applyNumberFormat="1" applyFont="1" applyBorder="1" applyAlignment="1">
      <alignment horizontal="center" vertical="center" wrapText="1"/>
    </xf>
    <xf numFmtId="2" fontId="52" fillId="0" borderId="5" xfId="0" applyNumberFormat="1" applyFont="1" applyBorder="1" applyAlignment="1">
      <alignment horizontal="center" vertical="center" wrapText="1"/>
    </xf>
    <xf numFmtId="2" fontId="52" fillId="0" borderId="13" xfId="0" applyNumberFormat="1" applyFont="1" applyBorder="1" applyAlignment="1">
      <alignment horizontal="center" vertical="center" wrapText="1"/>
    </xf>
    <xf numFmtId="2" fontId="52" fillId="0" borderId="18" xfId="0" applyNumberFormat="1" applyFont="1" applyBorder="1" applyAlignment="1">
      <alignment horizontal="center" vertical="center" wrapText="1"/>
    </xf>
    <xf numFmtId="2" fontId="52" fillId="0" borderId="15" xfId="0" applyNumberFormat="1" applyFont="1" applyBorder="1" applyAlignment="1">
      <alignment horizontal="center" vertical="center" wrapText="1"/>
    </xf>
    <xf numFmtId="2" fontId="52" fillId="0" borderId="17" xfId="0" applyNumberFormat="1" applyFont="1" applyBorder="1" applyAlignment="1">
      <alignment horizontal="center" vertical="center" wrapText="1"/>
    </xf>
    <xf numFmtId="2" fontId="52" fillId="0" borderId="19" xfId="0" applyNumberFormat="1" applyFont="1" applyBorder="1" applyAlignment="1">
      <alignment horizontal="center" vertical="center" wrapText="1"/>
    </xf>
    <xf numFmtId="2" fontId="52" fillId="0" borderId="20" xfId="0" applyNumberFormat="1" applyFont="1" applyBorder="1" applyAlignment="1">
      <alignment horizontal="center" vertical="center" wrapText="1"/>
    </xf>
    <xf numFmtId="3" fontId="52" fillId="3" borderId="13" xfId="0" applyNumberFormat="1" applyFont="1" applyFill="1" applyBorder="1" applyAlignment="1">
      <alignment horizontal="center" vertical="center" wrapText="1"/>
    </xf>
    <xf numFmtId="3" fontId="52" fillId="3" borderId="18" xfId="0" applyNumberFormat="1" applyFont="1" applyFill="1" applyBorder="1" applyAlignment="1">
      <alignment horizontal="center" vertical="center" wrapText="1"/>
    </xf>
    <xf numFmtId="3" fontId="52" fillId="3" borderId="15" xfId="0" applyNumberFormat="1" applyFont="1" applyFill="1" applyBorder="1" applyAlignment="1">
      <alignment horizontal="center" vertical="center" wrapText="1"/>
    </xf>
    <xf numFmtId="2" fontId="52" fillId="0" borderId="14" xfId="0" applyNumberFormat="1" applyFont="1" applyBorder="1" applyAlignment="1">
      <alignment horizontal="center" vertical="center" wrapText="1"/>
    </xf>
    <xf numFmtId="2" fontId="52" fillId="0" borderId="12" xfId="0" applyNumberFormat="1" applyFont="1" applyBorder="1" applyAlignment="1">
      <alignment horizontal="center" vertical="center" wrapText="1"/>
    </xf>
    <xf numFmtId="2" fontId="52" fillId="0" borderId="16" xfId="0" applyNumberFormat="1" applyFont="1" applyBorder="1" applyAlignment="1">
      <alignment horizontal="center" vertical="center" wrapText="1"/>
    </xf>
    <xf numFmtId="0" fontId="52" fillId="0" borderId="13" xfId="0" applyFont="1" applyBorder="1" applyAlignment="1">
      <alignment horizontal="center" vertical="center" wrapText="1"/>
    </xf>
    <xf numFmtId="0" fontId="52" fillId="0" borderId="15" xfId="0" applyFont="1" applyBorder="1" applyAlignment="1">
      <alignment horizontal="center" vertical="center" wrapText="1"/>
    </xf>
    <xf numFmtId="0" fontId="31" fillId="0" borderId="0" xfId="0" applyFont="1" applyAlignment="1">
      <alignment horizontal="center"/>
    </xf>
    <xf numFmtId="3" fontId="32" fillId="0" borderId="0" xfId="0" applyNumberFormat="1" applyFont="1" applyAlignment="1">
      <alignment horizontal="center"/>
    </xf>
    <xf numFmtId="0" fontId="24" fillId="0" borderId="5" xfId="0" applyFont="1" applyBorder="1" applyAlignment="1">
      <alignment horizontal="center"/>
    </xf>
    <xf numFmtId="3" fontId="23" fillId="0" borderId="0" xfId="0" applyNumberFormat="1" applyFont="1" applyAlignment="1">
      <alignment horizontal="left" wrapText="1"/>
    </xf>
    <xf numFmtId="3" fontId="25" fillId="0" borderId="0" xfId="0" applyNumberFormat="1" applyFont="1" applyAlignment="1">
      <alignment horizontal="center"/>
    </xf>
    <xf numFmtId="3" fontId="31" fillId="0" borderId="0" xfId="0" applyNumberFormat="1" applyFont="1" applyAlignment="1">
      <alignment horizontal="center"/>
    </xf>
    <xf numFmtId="166" fontId="45" fillId="0" borderId="11" xfId="15" applyNumberFormat="1" applyFont="1" applyFill="1" applyBorder="1" applyAlignment="1">
      <alignment horizontal="center"/>
    </xf>
    <xf numFmtId="0" fontId="25" fillId="0" borderId="11" xfId="0" applyFont="1" applyBorder="1" applyAlignment="1">
      <alignment horizontal="center"/>
    </xf>
    <xf numFmtId="43" fontId="31" fillId="0" borderId="0" xfId="17" applyFont="1" applyFill="1" applyAlignment="1">
      <alignment horizontal="center" wrapText="1"/>
    </xf>
    <xf numFmtId="43" fontId="25" fillId="0" borderId="0" xfId="17" applyFont="1" applyFill="1" applyAlignment="1">
      <alignment horizontal="center" wrapText="1"/>
    </xf>
    <xf numFmtId="0" fontId="57" fillId="0" borderId="0" xfId="0" applyFont="1" applyAlignment="1">
      <alignment horizontal="center" vertical="center"/>
    </xf>
    <xf numFmtId="0" fontId="25" fillId="0" borderId="0" xfId="0" applyFont="1" applyAlignment="1">
      <alignment horizontal="center" vertical="center"/>
    </xf>
    <xf numFmtId="0" fontId="25" fillId="0" borderId="11" xfId="0" applyFont="1" applyBorder="1" applyAlignment="1">
      <alignment horizontal="right" vertical="center"/>
    </xf>
    <xf numFmtId="0" fontId="44" fillId="0" borderId="13" xfId="0" applyFont="1" applyBorder="1" applyAlignment="1">
      <alignment horizontal="center" vertical="center"/>
    </xf>
    <xf numFmtId="0" fontId="44" fillId="0" borderId="15" xfId="0" applyFont="1" applyBorder="1" applyAlignment="1">
      <alignment horizontal="center" vertical="center"/>
    </xf>
    <xf numFmtId="3" fontId="44" fillId="2" borderId="3" xfId="63" applyNumberFormat="1" applyFont="1" applyFill="1" applyBorder="1" applyAlignment="1">
      <alignment horizontal="center" vertical="center" wrapText="1"/>
    </xf>
    <xf numFmtId="3" fontId="44" fillId="2" borderId="2" xfId="63" applyNumberFormat="1" applyFont="1" applyFill="1" applyBorder="1" applyAlignment="1">
      <alignment horizontal="center" vertical="center" wrapText="1"/>
    </xf>
    <xf numFmtId="3" fontId="44" fillId="2" borderId="25" xfId="63" applyNumberFormat="1" applyFont="1" applyFill="1" applyBorder="1" applyAlignment="1">
      <alignment horizontal="center" vertical="center" wrapText="1"/>
    </xf>
    <xf numFmtId="3" fontId="44" fillId="2" borderId="13" xfId="63" applyNumberFormat="1" applyFont="1" applyFill="1" applyBorder="1" applyAlignment="1">
      <alignment horizontal="center" vertical="center" wrapText="1"/>
    </xf>
    <xf numFmtId="3" fontId="44" fillId="2" borderId="15" xfId="63" applyNumberFormat="1" applyFont="1" applyFill="1" applyBorder="1" applyAlignment="1">
      <alignment horizontal="center" vertical="center" wrapText="1"/>
    </xf>
    <xf numFmtId="0" fontId="24" fillId="2" borderId="13" xfId="32" applyFont="1" applyFill="1" applyBorder="1" applyAlignment="1">
      <alignment horizontal="center" vertical="center" wrapText="1"/>
    </xf>
    <xf numFmtId="0" fontId="24" fillId="2" borderId="15" xfId="32" applyFont="1" applyFill="1" applyBorder="1" applyAlignment="1">
      <alignment horizontal="center" vertical="center" wrapText="1"/>
    </xf>
    <xf numFmtId="0" fontId="24" fillId="2" borderId="0" xfId="32" applyFont="1" applyFill="1" applyAlignment="1">
      <alignment horizontal="center" vertical="center"/>
    </xf>
    <xf numFmtId="0" fontId="41" fillId="2" borderId="0" xfId="32" applyFont="1" applyFill="1" applyAlignment="1">
      <alignment horizontal="center" vertical="center"/>
    </xf>
    <xf numFmtId="0" fontId="25" fillId="2" borderId="11" xfId="32" applyFont="1" applyFill="1" applyBorder="1" applyAlignment="1">
      <alignment horizontal="right" vertical="center"/>
    </xf>
    <xf numFmtId="0" fontId="44" fillId="2" borderId="13" xfId="32" applyFont="1" applyFill="1" applyBorder="1" applyAlignment="1">
      <alignment horizontal="center" vertical="center" wrapText="1"/>
    </xf>
    <xf numFmtId="0" fontId="44" fillId="2" borderId="15" xfId="32" applyFont="1" applyFill="1" applyBorder="1" applyAlignment="1">
      <alignment horizontal="center" vertical="center" wrapText="1"/>
    </xf>
    <xf numFmtId="0" fontId="44" fillId="2" borderId="5" xfId="0" applyFont="1" applyFill="1" applyBorder="1" applyAlignment="1">
      <alignment horizontal="center" vertical="center" wrapText="1"/>
    </xf>
    <xf numFmtId="49" fontId="44" fillId="2" borderId="13" xfId="63" applyNumberFormat="1" applyFont="1" applyFill="1" applyBorder="1" applyAlignment="1">
      <alignment horizontal="center" vertical="center" wrapText="1"/>
    </xf>
    <xf numFmtId="49" fontId="44" fillId="2" borderId="15" xfId="63" applyNumberFormat="1" applyFont="1" applyFill="1" applyBorder="1" applyAlignment="1">
      <alignment horizontal="center" vertical="center" wrapText="1"/>
    </xf>
    <xf numFmtId="3" fontId="44" fillId="2" borderId="5" xfId="63" applyNumberFormat="1" applyFont="1" applyFill="1" applyBorder="1" applyAlignment="1">
      <alignment horizontal="center" vertical="center" wrapText="1"/>
    </xf>
  </cellXfs>
  <cellStyles count="64">
    <cellStyle name="_x000d__x000a_JournalTemplate=C:\COMFO\CTALK\JOURSTD.TPL_x000d__x000a_LbStateAddress=3 3 0 251 1 89 2 311_x000d__x000a_LbStateJou" xfId="62" xr:uid="{00000000-0005-0000-0000-000000000000}"/>
    <cellStyle name="??" xfId="1" xr:uid="{00000000-0005-0000-0000-000001000000}"/>
    <cellStyle name="?? [0.00]_PRODUCT DETAIL Q1" xfId="2" xr:uid="{00000000-0005-0000-0000-000002000000}"/>
    <cellStyle name="?? [0]" xfId="3" xr:uid="{00000000-0005-0000-0000-000003000000}"/>
    <cellStyle name="???? [0.00]_PRODUCT DETAIL Q1" xfId="4" xr:uid="{00000000-0005-0000-0000-000004000000}"/>
    <cellStyle name="????_PRODUCT DETAIL Q1" xfId="5" xr:uid="{00000000-0005-0000-0000-000005000000}"/>
    <cellStyle name="???_HOBONG" xfId="6" xr:uid="{00000000-0005-0000-0000-000006000000}"/>
    <cellStyle name="??_(????)??????" xfId="7" xr:uid="{00000000-0005-0000-0000-000007000000}"/>
    <cellStyle name="??_kc-elec system check list" xfId="8" xr:uid="{00000000-0005-0000-0000-000008000000}"/>
    <cellStyle name="AeE­ [0]_INQUIRY ¿μ¾÷AßAø " xfId="9" xr:uid="{00000000-0005-0000-0000-000009000000}"/>
    <cellStyle name="AeE­_INQUIRY ¿µ¾÷AßAø " xfId="10" xr:uid="{00000000-0005-0000-0000-00000A000000}"/>
    <cellStyle name="AÞ¸¶ [0]_INQUIRY ¿?¾÷AßAø " xfId="11" xr:uid="{00000000-0005-0000-0000-00000B000000}"/>
    <cellStyle name="AÞ¸¶_INQUIRY ¿?¾÷AßAø " xfId="12" xr:uid="{00000000-0005-0000-0000-00000C000000}"/>
    <cellStyle name="C?AØ_¿?¾÷CoE² " xfId="13" xr:uid="{00000000-0005-0000-0000-00000D000000}"/>
    <cellStyle name="C￥AØ_¿μ¾÷CoE² " xfId="14" xr:uid="{00000000-0005-0000-0000-00000E000000}"/>
    <cellStyle name="Comma" xfId="15" builtinId="3"/>
    <cellStyle name="Comma 3" xfId="16" xr:uid="{00000000-0005-0000-0000-000010000000}"/>
    <cellStyle name="Comma 3 2" xfId="60" xr:uid="{00000000-0005-0000-0000-000011000000}"/>
    <cellStyle name="Comma 4" xfId="17" xr:uid="{00000000-0005-0000-0000-000012000000}"/>
    <cellStyle name="Comma0" xfId="18" xr:uid="{00000000-0005-0000-0000-000013000000}"/>
    <cellStyle name="Currency0" xfId="19" xr:uid="{00000000-0005-0000-0000-000014000000}"/>
    <cellStyle name="Date" xfId="20" xr:uid="{00000000-0005-0000-0000-000015000000}"/>
    <cellStyle name="Fixed" xfId="21" xr:uid="{00000000-0005-0000-0000-000016000000}"/>
    <cellStyle name="Header1" xfId="22" xr:uid="{00000000-0005-0000-0000-000017000000}"/>
    <cellStyle name="Header2" xfId="23" xr:uid="{00000000-0005-0000-0000-000018000000}"/>
    <cellStyle name="Heading 1" xfId="24" builtinId="16" customBuiltin="1"/>
    <cellStyle name="Heading 2" xfId="25" builtinId="17" customBuiltin="1"/>
    <cellStyle name="Ledger 17 x 11 in 2" xfId="26" xr:uid="{00000000-0005-0000-0000-00001B000000}"/>
    <cellStyle name="n" xfId="27" xr:uid="{00000000-0005-0000-0000-00001C000000}"/>
    <cellStyle name="Normal" xfId="0" builtinId="0"/>
    <cellStyle name="Normal - Style1" xfId="28" xr:uid="{00000000-0005-0000-0000-00001E000000}"/>
    <cellStyle name="Normal 11" xfId="29" xr:uid="{00000000-0005-0000-0000-00001F000000}"/>
    <cellStyle name="Normal 2 2" xfId="30" xr:uid="{00000000-0005-0000-0000-000020000000}"/>
    <cellStyle name="Normal 22" xfId="31" xr:uid="{00000000-0005-0000-0000-000021000000}"/>
    <cellStyle name="Normal 3" xfId="32" xr:uid="{00000000-0005-0000-0000-000022000000}"/>
    <cellStyle name="Normal 5 3" xfId="33" xr:uid="{00000000-0005-0000-0000-000023000000}"/>
    <cellStyle name="Normal 89" xfId="34" xr:uid="{00000000-0005-0000-0000-000024000000}"/>
    <cellStyle name="Normal_Bieu mau (CV )" xfId="63" xr:uid="{4B52776D-2D86-45D3-8A89-FBA0EFC633BC}"/>
    <cellStyle name="Percent" xfId="61" builtinId="5"/>
    <cellStyle name="T" xfId="35" xr:uid="{00000000-0005-0000-0000-000026000000}"/>
    <cellStyle name="th" xfId="37" xr:uid="{00000000-0005-0000-0000-000028000000}"/>
    <cellStyle name="Total" xfId="36" builtinId="25" customBuiltin="1"/>
    <cellStyle name="viet" xfId="38" xr:uid="{00000000-0005-0000-0000-000029000000}"/>
    <cellStyle name="viet2" xfId="39" xr:uid="{00000000-0005-0000-0000-00002A000000}"/>
    <cellStyle name=" [0.00]_ Att. 1- Cover" xfId="40" xr:uid="{00000000-0005-0000-0000-00002B000000}"/>
    <cellStyle name="_ Att. 1- Cover" xfId="41" xr:uid="{00000000-0005-0000-0000-00002C000000}"/>
    <cellStyle name="?_ Att. 1- Cover" xfId="42" xr:uid="{00000000-0005-0000-0000-00002D000000}"/>
    <cellStyle name="똿뗦먛귟 [0.00]_PRODUCT DETAIL Q1" xfId="43" xr:uid="{00000000-0005-0000-0000-00002E000000}"/>
    <cellStyle name="똿뗦먛귟_PRODUCT DETAIL Q1" xfId="44" xr:uid="{00000000-0005-0000-0000-00002F000000}"/>
    <cellStyle name="믅됞 [0.00]_PRODUCT DETAIL Q1" xfId="45" xr:uid="{00000000-0005-0000-0000-000030000000}"/>
    <cellStyle name="믅됞_PRODUCT DETAIL Q1" xfId="46" xr:uid="{00000000-0005-0000-0000-000031000000}"/>
    <cellStyle name="백분율_95" xfId="47" xr:uid="{00000000-0005-0000-0000-000032000000}"/>
    <cellStyle name="뷭?_BOOKSHIP" xfId="48" xr:uid="{00000000-0005-0000-0000-000033000000}"/>
    <cellStyle name="콤마 [0]_1202" xfId="49" xr:uid="{00000000-0005-0000-0000-000034000000}"/>
    <cellStyle name="콤마_1202" xfId="50" xr:uid="{00000000-0005-0000-0000-000035000000}"/>
    <cellStyle name="통화 [0]_1202" xfId="51" xr:uid="{00000000-0005-0000-0000-000036000000}"/>
    <cellStyle name="통화_1202" xfId="52" xr:uid="{00000000-0005-0000-0000-000037000000}"/>
    <cellStyle name="표준_(정보부문)월별인원계획" xfId="53" xr:uid="{00000000-0005-0000-0000-000038000000}"/>
    <cellStyle name="一般_00Q3902REV.1" xfId="54" xr:uid="{00000000-0005-0000-0000-000039000000}"/>
    <cellStyle name="千分位[0]_00Q3902REV.1" xfId="55" xr:uid="{00000000-0005-0000-0000-00003A000000}"/>
    <cellStyle name="千分位_00Q3902REV.1" xfId="56" xr:uid="{00000000-0005-0000-0000-00003B000000}"/>
    <cellStyle name="貨幣 [0]_00Q3902REV.1" xfId="57" xr:uid="{00000000-0005-0000-0000-00003C000000}"/>
    <cellStyle name="貨幣[0]_BRE" xfId="58" xr:uid="{00000000-0005-0000-0000-00003D000000}"/>
    <cellStyle name="貨幣_00Q3902REV.1" xfId="59" xr:uid="{00000000-0005-0000-0000-00003E00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022\2022%20CH&#205;NH%20QUY&#7872;N\X&#226;y%20d&#7921;ng%20DT%202023\DU%20TOAN%202023\Qu&#7929;%20l&#432;&#417;ng%20+%20Chi%20th&#432;&#7901;ng%20xuy&#234;n\BC%20Thu%20chi%202022\BIEU-THU-CHI-2022_PBDT-2023_02.12.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Desktop/H&#7884;P%20H&#272;ND%20TH&#193;NG%2012%20N&#258;M%202022/B&#193;O%20C&#193;O%20THU%20CHI/PH&#194;N%20B&#7892;%20CHI%20TI&#7870;T%20SN%20GI&#193;O%20D&#7908;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sheetName val="Chi"/>
    </sheetNames>
    <sheetDataSet>
      <sheetData sheetId="0">
        <row r="37">
          <cell r="C37">
            <v>824215</v>
          </cell>
          <cell r="D37">
            <v>715818</v>
          </cell>
          <cell r="E37">
            <v>842141</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4Test5"/>
      <sheetName val="THUYẾT MINH"/>
      <sheetName val=" SC, DUY TU TRƯỜNG HỌC"/>
    </sheetNames>
    <sheetDataSet>
      <sheetData sheetId="0"/>
      <sheetData sheetId="1"/>
      <sheetData sheetId="2">
        <row r="8">
          <cell r="R8">
            <v>8354</v>
          </cell>
        </row>
        <row r="19">
          <cell r="R19">
            <v>12570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5"/>
  <sheetViews>
    <sheetView showFormulas="1" workbookViewId="0"/>
  </sheetViews>
  <sheetFormatPr defaultColWidth="9.1796875" defaultRowHeight="12.5"/>
  <cols>
    <col min="1" max="1" width="29.81640625" style="1" customWidth="1"/>
    <col min="2" max="2" width="1.26953125" style="1" customWidth="1"/>
    <col min="3" max="3" width="32.1796875" style="1" customWidth="1"/>
    <col min="4" max="16384" width="9.1796875" style="1"/>
  </cols>
  <sheetData>
    <row r="1" spans="1:3" ht="13" thickBot="1"/>
    <row r="2" spans="1:3" ht="13" thickBot="1">
      <c r="A2" s="2" t="s">
        <v>5</v>
      </c>
      <c r="C2" s="2" t="s">
        <v>6</v>
      </c>
    </row>
    <row r="3" spans="1:3">
      <c r="A3" s="3" t="s">
        <v>7</v>
      </c>
    </row>
    <row r="4" spans="1:3">
      <c r="A4" s="4" t="s">
        <v>8</v>
      </c>
    </row>
    <row r="5" spans="1:3">
      <c r="A5" s="5" t="s">
        <v>9</v>
      </c>
    </row>
    <row r="6" spans="1:3" ht="13" thickBot="1">
      <c r="A6" s="6">
        <v>3</v>
      </c>
    </row>
    <row r="8" spans="1:3" ht="13" thickBot="1"/>
    <row r="9" spans="1:3" ht="13" thickBot="1">
      <c r="A9" s="2" t="s">
        <v>10</v>
      </c>
    </row>
    <row r="10" spans="1:3" ht="13" thickBot="1">
      <c r="C10" s="2" t="s">
        <v>11</v>
      </c>
    </row>
    <row r="20" spans="3:3" ht="13" thickBot="1"/>
    <row r="21" spans="3:3" ht="13" thickBot="1"/>
    <row r="22" spans="3:3" ht="13" thickBot="1">
      <c r="C22" s="2" t="s">
        <v>12</v>
      </c>
    </row>
    <row r="30" spans="3:3" ht="13" thickBot="1"/>
    <row r="32" spans="3:3" ht="13" thickBot="1"/>
    <row r="35" ht="13" thickBot="1"/>
  </sheetData>
  <sheetProtection password="CFB0" sheet="1" objects="1"/>
  <phoneticPr fontId="20" type="noConversion"/>
  <pageMargins left="0.75" right="0.75" top="0.41" bottom="0.5" header="0.22" footer="0.27"/>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7"/>
  <sheetViews>
    <sheetView tabSelected="1" zoomScaleNormal="100" workbookViewId="0">
      <selection activeCell="N36" sqref="N36"/>
    </sheetView>
  </sheetViews>
  <sheetFormatPr defaultColWidth="11.453125" defaultRowHeight="18"/>
  <cols>
    <col min="1" max="1" width="5.453125" style="110" customWidth="1"/>
    <col min="2" max="2" width="44.54296875" style="111" customWidth="1"/>
    <col min="3" max="5" width="10.54296875" style="111" customWidth="1"/>
    <col min="6" max="6" width="11" style="165" customWidth="1"/>
    <col min="7" max="7" width="12.81640625" style="111" customWidth="1"/>
    <col min="8" max="9" width="10" style="111" customWidth="1"/>
    <col min="10" max="12" width="10.7265625" style="111" customWidth="1"/>
    <col min="13" max="16384" width="11.453125" style="111"/>
  </cols>
  <sheetData>
    <row r="1" spans="1:10" ht="20.25" customHeight="1">
      <c r="H1" s="362" t="s">
        <v>219</v>
      </c>
      <c r="I1" s="362"/>
      <c r="J1" s="112"/>
    </row>
    <row r="2" spans="1:10" ht="22.5" customHeight="1">
      <c r="A2" s="363" t="s">
        <v>284</v>
      </c>
      <c r="B2" s="363"/>
      <c r="C2" s="363"/>
      <c r="D2" s="363"/>
      <c r="E2" s="363"/>
      <c r="F2" s="363"/>
      <c r="G2" s="363"/>
      <c r="H2" s="363"/>
      <c r="I2" s="363"/>
      <c r="J2" s="169"/>
    </row>
    <row r="3" spans="1:10" ht="19.5" customHeight="1">
      <c r="A3" s="364" t="s">
        <v>267</v>
      </c>
      <c r="B3" s="364"/>
      <c r="C3" s="364"/>
      <c r="D3" s="364"/>
      <c r="E3" s="364"/>
      <c r="F3" s="364"/>
      <c r="G3" s="364"/>
      <c r="H3" s="364"/>
      <c r="I3" s="364"/>
      <c r="J3" s="170"/>
    </row>
    <row r="4" spans="1:10" ht="28.5" customHeight="1">
      <c r="F4" s="171">
        <f>54000-F9</f>
        <v>0</v>
      </c>
      <c r="G4" s="113"/>
      <c r="H4" s="113" t="s">
        <v>285</v>
      </c>
      <c r="I4" s="113"/>
      <c r="J4" s="114"/>
    </row>
    <row r="5" spans="1:10" s="116" customFormat="1" ht="18.75" customHeight="1">
      <c r="A5" s="365" t="s">
        <v>0</v>
      </c>
      <c r="B5" s="366" t="s">
        <v>287</v>
      </c>
      <c r="C5" s="367" t="s">
        <v>288</v>
      </c>
      <c r="D5" s="370" t="s">
        <v>289</v>
      </c>
      <c r="E5" s="367" t="s">
        <v>290</v>
      </c>
      <c r="F5" s="373" t="s">
        <v>291</v>
      </c>
      <c r="G5" s="366" t="s">
        <v>292</v>
      </c>
      <c r="H5" s="366"/>
      <c r="I5" s="366"/>
      <c r="J5" s="115"/>
    </row>
    <row r="6" spans="1:10" s="116" customFormat="1" ht="21" customHeight="1">
      <c r="A6" s="365"/>
      <c r="B6" s="366"/>
      <c r="C6" s="368"/>
      <c r="D6" s="371"/>
      <c r="E6" s="368"/>
      <c r="F6" s="374"/>
      <c r="G6" s="360" t="s">
        <v>293</v>
      </c>
      <c r="H6" s="360" t="s">
        <v>294</v>
      </c>
      <c r="I6" s="360" t="s">
        <v>295</v>
      </c>
      <c r="J6" s="117"/>
    </row>
    <row r="7" spans="1:10" s="116" customFormat="1" ht="31.5" customHeight="1">
      <c r="A7" s="365"/>
      <c r="B7" s="366"/>
      <c r="C7" s="369"/>
      <c r="D7" s="372"/>
      <c r="E7" s="369"/>
      <c r="F7" s="375"/>
      <c r="G7" s="361"/>
      <c r="H7" s="361"/>
      <c r="I7" s="361"/>
      <c r="J7" s="117"/>
    </row>
    <row r="8" spans="1:10" s="121" customFormat="1" ht="15.75" customHeight="1">
      <c r="A8" s="118" t="s">
        <v>1</v>
      </c>
      <c r="B8" s="119" t="s">
        <v>2</v>
      </c>
      <c r="C8" s="118">
        <v>1</v>
      </c>
      <c r="D8" s="118">
        <v>2</v>
      </c>
      <c r="E8" s="118">
        <v>3</v>
      </c>
      <c r="F8" s="172">
        <v>4</v>
      </c>
      <c r="G8" s="118" t="s">
        <v>296</v>
      </c>
      <c r="H8" s="118" t="s">
        <v>297</v>
      </c>
      <c r="I8" s="118" t="s">
        <v>298</v>
      </c>
      <c r="J8" s="120"/>
    </row>
    <row r="9" spans="1:10" s="127" customFormat="1" ht="19.5" customHeight="1">
      <c r="A9" s="122" t="s">
        <v>1</v>
      </c>
      <c r="B9" s="123" t="s">
        <v>299</v>
      </c>
      <c r="C9" s="124">
        <f>SUM(C10,C14,C18,C23,C24,C25,C28,C31:C33,C34)</f>
        <v>54097</v>
      </c>
      <c r="D9" s="124">
        <f>SUM(D10,D14,D18,D23,D24,D25,D28,D31:D33,D34)</f>
        <v>54000</v>
      </c>
      <c r="E9" s="124">
        <f>SUM(E10,E14,E18,E23,E24,E25,E28,E31:E33,E34)</f>
        <v>55600</v>
      </c>
      <c r="F9" s="173">
        <f>SUM(F10,F14,F18,F23,F24,F25,F28,F31:F33,F34)</f>
        <v>54000</v>
      </c>
      <c r="G9" s="125">
        <f>E9/C9</f>
        <v>1.027783426067989</v>
      </c>
      <c r="H9" s="125">
        <f>E9/D9</f>
        <v>1.0296296296296297</v>
      </c>
      <c r="I9" s="125">
        <f>F9/D9</f>
        <v>1</v>
      </c>
      <c r="J9" s="126"/>
    </row>
    <row r="10" spans="1:10" s="133" customFormat="1" ht="18.75" customHeight="1">
      <c r="A10" s="128">
        <v>1</v>
      </c>
      <c r="B10" s="129" t="s">
        <v>300</v>
      </c>
      <c r="C10" s="130">
        <f>SUM(C11:C13)</f>
        <v>1239</v>
      </c>
      <c r="D10" s="130">
        <f>SUM(D11:D13)</f>
        <v>0</v>
      </c>
      <c r="E10" s="130">
        <f>SUM(E11:E13)</f>
        <v>1560</v>
      </c>
      <c r="F10" s="174">
        <f>SUM(F11:F13)</f>
        <v>1000</v>
      </c>
      <c r="G10" s="131">
        <f t="shared" ref="G10:G43" si="0">E10/C10</f>
        <v>1.2590799031476998</v>
      </c>
      <c r="H10" s="131"/>
      <c r="I10" s="131"/>
      <c r="J10" s="132"/>
    </row>
    <row r="11" spans="1:10" s="139" customFormat="1" ht="18.75" customHeight="1">
      <c r="A11" s="134"/>
      <c r="B11" s="135" t="s">
        <v>301</v>
      </c>
      <c r="C11" s="136">
        <v>65</v>
      </c>
      <c r="D11" s="136"/>
      <c r="E11" s="136">
        <v>30</v>
      </c>
      <c r="F11" s="175"/>
      <c r="G11" s="137">
        <f t="shared" si="0"/>
        <v>0.46153846153846156</v>
      </c>
      <c r="H11" s="137"/>
      <c r="I11" s="137"/>
      <c r="J11" s="138"/>
    </row>
    <row r="12" spans="1:10" s="139" customFormat="1" ht="18.75" customHeight="1">
      <c r="A12" s="134"/>
      <c r="B12" s="135" t="s">
        <v>302</v>
      </c>
      <c r="C12" s="136">
        <v>46</v>
      </c>
      <c r="D12" s="136"/>
      <c r="E12" s="136">
        <v>30</v>
      </c>
      <c r="F12" s="175"/>
      <c r="G12" s="137">
        <f>E12/C12</f>
        <v>0.65217391304347827</v>
      </c>
      <c r="H12" s="137"/>
      <c r="I12" s="137"/>
      <c r="J12" s="138"/>
    </row>
    <row r="13" spans="1:10" s="139" customFormat="1" ht="18.75" customHeight="1">
      <c r="A13" s="134"/>
      <c r="B13" s="135" t="s">
        <v>303</v>
      </c>
      <c r="C13" s="136">
        <v>1128</v>
      </c>
      <c r="D13" s="136"/>
      <c r="E13" s="136">
        <v>1500</v>
      </c>
      <c r="F13" s="175">
        <v>1000</v>
      </c>
      <c r="G13" s="137">
        <f t="shared" si="0"/>
        <v>1.3297872340425532</v>
      </c>
      <c r="H13" s="137"/>
      <c r="I13" s="137"/>
      <c r="J13" s="138"/>
    </row>
    <row r="14" spans="1:10" s="133" customFormat="1" ht="18.75" customHeight="1">
      <c r="A14" s="128">
        <v>2</v>
      </c>
      <c r="B14" s="129" t="s">
        <v>304</v>
      </c>
      <c r="C14" s="130">
        <f>SUM(C15:C17)</f>
        <v>21201</v>
      </c>
      <c r="D14" s="130">
        <f>SUM(D15:D17)</f>
        <v>20300</v>
      </c>
      <c r="E14" s="130">
        <f>SUM(E15:E17)</f>
        <v>24340</v>
      </c>
      <c r="F14" s="174">
        <f>SUM(F15:F17)</f>
        <v>21300</v>
      </c>
      <c r="G14" s="131">
        <f t="shared" si="0"/>
        <v>1.148059053818216</v>
      </c>
      <c r="H14" s="131">
        <f t="shared" ref="H14:H41" si="1">E14/D14</f>
        <v>1.199014778325123</v>
      </c>
      <c r="I14" s="131">
        <f t="shared" ref="I14:I41" si="2">F14/D14</f>
        <v>1.0492610837438423</v>
      </c>
      <c r="J14" s="132"/>
    </row>
    <row r="15" spans="1:10" s="139" customFormat="1" ht="18.75" customHeight="1">
      <c r="A15" s="134"/>
      <c r="B15" s="135" t="s">
        <v>301</v>
      </c>
      <c r="C15" s="136">
        <v>10484</v>
      </c>
      <c r="D15" s="136">
        <v>8750</v>
      </c>
      <c r="E15" s="136">
        <f>6400-E11</f>
        <v>6370</v>
      </c>
      <c r="F15" s="175">
        <v>8000</v>
      </c>
      <c r="G15" s="137">
        <f t="shared" si="0"/>
        <v>0.60759252193819158</v>
      </c>
      <c r="H15" s="137">
        <f t="shared" si="1"/>
        <v>0.72799999999999998</v>
      </c>
      <c r="I15" s="137">
        <f t="shared" si="2"/>
        <v>0.91428571428571426</v>
      </c>
      <c r="J15" s="138"/>
    </row>
    <row r="16" spans="1:10" s="139" customFormat="1" ht="18.75" customHeight="1">
      <c r="A16" s="134"/>
      <c r="B16" s="135" t="s">
        <v>302</v>
      </c>
      <c r="C16" s="136">
        <v>1322</v>
      </c>
      <c r="D16" s="136">
        <v>1000</v>
      </c>
      <c r="E16" s="136">
        <f>1000-E12</f>
        <v>970</v>
      </c>
      <c r="F16" s="175">
        <v>1200</v>
      </c>
      <c r="G16" s="137">
        <f t="shared" si="0"/>
        <v>0.73373676248108921</v>
      </c>
      <c r="H16" s="137">
        <f t="shared" si="1"/>
        <v>0.97</v>
      </c>
      <c r="I16" s="137">
        <f t="shared" si="2"/>
        <v>1.2</v>
      </c>
      <c r="J16" s="138"/>
    </row>
    <row r="17" spans="1:12" s="139" customFormat="1" ht="18.75" customHeight="1">
      <c r="A17" s="134"/>
      <c r="B17" s="135" t="s">
        <v>303</v>
      </c>
      <c r="C17" s="136">
        <v>9395</v>
      </c>
      <c r="D17" s="136">
        <v>10550</v>
      </c>
      <c r="E17" s="136">
        <v>17000</v>
      </c>
      <c r="F17" s="175">
        <v>12100</v>
      </c>
      <c r="G17" s="137">
        <f t="shared" si="0"/>
        <v>1.8094731240021289</v>
      </c>
      <c r="H17" s="137">
        <f t="shared" si="1"/>
        <v>1.6113744075829384</v>
      </c>
      <c r="I17" s="137">
        <f t="shared" si="2"/>
        <v>1.1469194312796209</v>
      </c>
      <c r="J17" s="138"/>
    </row>
    <row r="18" spans="1:12" s="133" customFormat="1" ht="36.75" customHeight="1">
      <c r="A18" s="128">
        <v>3</v>
      </c>
      <c r="B18" s="140" t="s">
        <v>305</v>
      </c>
      <c r="C18" s="130">
        <f>+C19+C22</f>
        <v>72</v>
      </c>
      <c r="D18" s="130">
        <f t="shared" ref="D18:E18" si="3">D19+D22</f>
        <v>2750</v>
      </c>
      <c r="E18" s="130">
        <f t="shared" si="3"/>
        <v>2800</v>
      </c>
      <c r="F18" s="174">
        <f>F19+F22</f>
        <v>2700</v>
      </c>
      <c r="G18" s="131">
        <f t="shared" si="0"/>
        <v>38.888888888888886</v>
      </c>
      <c r="H18" s="131">
        <f t="shared" si="1"/>
        <v>1.0181818181818181</v>
      </c>
      <c r="I18" s="131">
        <f t="shared" si="2"/>
        <v>0.98181818181818181</v>
      </c>
      <c r="J18" s="132"/>
    </row>
    <row r="19" spans="1:12" s="133" customFormat="1" ht="18.75" customHeight="1">
      <c r="A19" s="128"/>
      <c r="B19" s="135" t="s">
        <v>139</v>
      </c>
      <c r="C19" s="136">
        <f t="shared" ref="C19:E19" si="4">+C20+C21</f>
        <v>0</v>
      </c>
      <c r="D19" s="136">
        <f t="shared" si="4"/>
        <v>2650</v>
      </c>
      <c r="E19" s="136">
        <f t="shared" si="4"/>
        <v>2700</v>
      </c>
      <c r="F19" s="175">
        <v>2600</v>
      </c>
      <c r="G19" s="131"/>
      <c r="H19" s="131"/>
      <c r="I19" s="131"/>
      <c r="J19" s="132"/>
    </row>
    <row r="20" spans="1:12" s="147" customFormat="1" ht="18.75" customHeight="1">
      <c r="A20" s="141"/>
      <c r="B20" s="142" t="s">
        <v>306</v>
      </c>
      <c r="C20" s="143"/>
      <c r="D20" s="144">
        <v>1854.9999999999998</v>
      </c>
      <c r="E20" s="144">
        <v>1890</v>
      </c>
      <c r="F20" s="176">
        <v>1820</v>
      </c>
      <c r="G20" s="145"/>
      <c r="H20" s="145"/>
      <c r="I20" s="145"/>
      <c r="J20" s="146"/>
    </row>
    <row r="21" spans="1:12" s="147" customFormat="1" ht="18.75" customHeight="1">
      <c r="A21" s="141"/>
      <c r="B21" s="142" t="s">
        <v>307</v>
      </c>
      <c r="C21" s="143"/>
      <c r="D21" s="144">
        <v>795</v>
      </c>
      <c r="E21" s="144">
        <v>810</v>
      </c>
      <c r="F21" s="176">
        <v>720</v>
      </c>
      <c r="G21" s="145"/>
      <c r="H21" s="145"/>
      <c r="I21" s="145"/>
      <c r="J21" s="146"/>
    </row>
    <row r="22" spans="1:12" s="133" customFormat="1" ht="18.75" customHeight="1">
      <c r="A22" s="128"/>
      <c r="B22" s="135" t="s">
        <v>140</v>
      </c>
      <c r="C22" s="130">
        <v>72</v>
      </c>
      <c r="D22" s="130">
        <v>100</v>
      </c>
      <c r="E22" s="130">
        <v>100</v>
      </c>
      <c r="F22" s="175">
        <v>100</v>
      </c>
      <c r="G22" s="131"/>
      <c r="H22" s="131"/>
      <c r="I22" s="131"/>
      <c r="J22" s="132"/>
    </row>
    <row r="23" spans="1:12" s="133" customFormat="1" ht="18.75" customHeight="1">
      <c r="A23" s="128">
        <v>4</v>
      </c>
      <c r="B23" s="129" t="s">
        <v>18</v>
      </c>
      <c r="C23" s="130">
        <v>5917</v>
      </c>
      <c r="D23" s="130">
        <v>5100</v>
      </c>
      <c r="E23" s="130">
        <v>7500</v>
      </c>
      <c r="F23" s="174">
        <v>5200</v>
      </c>
      <c r="G23" s="131">
        <f t="shared" si="0"/>
        <v>1.2675342234240325</v>
      </c>
      <c r="H23" s="131">
        <f t="shared" si="1"/>
        <v>1.4705882352941178</v>
      </c>
      <c r="I23" s="131">
        <f t="shared" si="2"/>
        <v>1.0196078431372548</v>
      </c>
      <c r="J23" s="132"/>
    </row>
    <row r="24" spans="1:12" s="133" customFormat="1" ht="18.75" customHeight="1">
      <c r="A24" s="128">
        <v>5</v>
      </c>
      <c r="B24" s="129" t="s">
        <v>19</v>
      </c>
      <c r="C24" s="130">
        <v>1786</v>
      </c>
      <c r="D24" s="130">
        <v>1800</v>
      </c>
      <c r="E24" s="130">
        <v>1900</v>
      </c>
      <c r="F24" s="174">
        <v>2220</v>
      </c>
      <c r="G24" s="131">
        <f t="shared" si="0"/>
        <v>1.0638297872340425</v>
      </c>
      <c r="H24" s="131">
        <f t="shared" si="1"/>
        <v>1.0555555555555556</v>
      </c>
      <c r="I24" s="131">
        <f t="shared" si="2"/>
        <v>1.2333333333333334</v>
      </c>
      <c r="J24" s="132"/>
    </row>
    <row r="25" spans="1:12" s="133" customFormat="1" ht="18.75" customHeight="1">
      <c r="A25" s="128">
        <v>6</v>
      </c>
      <c r="B25" s="129" t="s">
        <v>22</v>
      </c>
      <c r="C25" s="130">
        <v>1593</v>
      </c>
      <c r="D25" s="130">
        <v>1350</v>
      </c>
      <c r="E25" s="130">
        <v>1400</v>
      </c>
      <c r="F25" s="174">
        <v>1300</v>
      </c>
      <c r="G25" s="131">
        <f t="shared" si="0"/>
        <v>0.87884494664155677</v>
      </c>
      <c r="H25" s="131">
        <f t="shared" si="1"/>
        <v>1.037037037037037</v>
      </c>
      <c r="I25" s="131">
        <f t="shared" si="2"/>
        <v>0.96296296296296291</v>
      </c>
      <c r="J25" s="132"/>
    </row>
    <row r="26" spans="1:12" s="151" customFormat="1" ht="18.75" customHeight="1">
      <c r="A26" s="148"/>
      <c r="B26" s="142" t="s">
        <v>308</v>
      </c>
      <c r="C26" s="144">
        <v>431</v>
      </c>
      <c r="D26" s="144">
        <v>500</v>
      </c>
      <c r="E26" s="144">
        <v>500</v>
      </c>
      <c r="F26" s="176">
        <v>500</v>
      </c>
      <c r="G26" s="145">
        <f>E26/C26</f>
        <v>1.160092807424594</v>
      </c>
      <c r="H26" s="145">
        <f>E26/D26</f>
        <v>1</v>
      </c>
      <c r="I26" s="145">
        <f>F26/D26</f>
        <v>1</v>
      </c>
      <c r="J26" s="149"/>
      <c r="K26" s="150"/>
      <c r="L26" s="150"/>
    </row>
    <row r="27" spans="1:12" s="151" customFormat="1" ht="18.75" customHeight="1">
      <c r="A27" s="148"/>
      <c r="B27" s="142" t="s">
        <v>309</v>
      </c>
      <c r="C27" s="144">
        <v>264</v>
      </c>
      <c r="D27" s="144">
        <v>250</v>
      </c>
      <c r="E27" s="144">
        <v>250</v>
      </c>
      <c r="F27" s="176">
        <v>200</v>
      </c>
      <c r="G27" s="145">
        <f t="shared" si="0"/>
        <v>0.94696969696969702</v>
      </c>
      <c r="H27" s="145">
        <f>E27/D27</f>
        <v>1</v>
      </c>
      <c r="I27" s="145">
        <f>F27/D27</f>
        <v>0.8</v>
      </c>
      <c r="J27" s="149"/>
      <c r="K27" s="150"/>
      <c r="L27" s="150"/>
    </row>
    <row r="28" spans="1:12" s="133" customFormat="1" ht="18.75" customHeight="1">
      <c r="A28" s="128">
        <v>7</v>
      </c>
      <c r="B28" s="129" t="s">
        <v>20</v>
      </c>
      <c r="C28" s="130">
        <f>SUM(C29,C30)</f>
        <v>19869</v>
      </c>
      <c r="D28" s="130">
        <f>SUM(D29,D30)</f>
        <v>20000</v>
      </c>
      <c r="E28" s="130">
        <f>SUM(E29,E30)</f>
        <v>7600</v>
      </c>
      <c r="F28" s="174">
        <f>SUM(F29,F30)</f>
        <v>15000</v>
      </c>
      <c r="G28" s="131">
        <f t="shared" si="0"/>
        <v>0.38250541043837133</v>
      </c>
      <c r="H28" s="131">
        <f t="shared" si="1"/>
        <v>0.38</v>
      </c>
      <c r="I28" s="131">
        <f t="shared" si="2"/>
        <v>0.75</v>
      </c>
      <c r="J28" s="152"/>
    </row>
    <row r="29" spans="1:12" s="139" customFormat="1" ht="18.75" customHeight="1">
      <c r="A29" s="134"/>
      <c r="B29" s="135" t="s">
        <v>310</v>
      </c>
      <c r="C29" s="136">
        <v>1218</v>
      </c>
      <c r="D29" s="136">
        <v>2000</v>
      </c>
      <c r="E29" s="136">
        <v>1000</v>
      </c>
      <c r="F29" s="175"/>
      <c r="G29" s="137">
        <f t="shared" si="0"/>
        <v>0.82101806239737274</v>
      </c>
      <c r="H29" s="137">
        <f t="shared" si="1"/>
        <v>0.5</v>
      </c>
      <c r="I29" s="137">
        <f t="shared" si="2"/>
        <v>0</v>
      </c>
      <c r="J29" s="138"/>
    </row>
    <row r="30" spans="1:12" s="139" customFormat="1" ht="18.75" customHeight="1">
      <c r="A30" s="134"/>
      <c r="B30" s="153" t="s">
        <v>311</v>
      </c>
      <c r="C30" s="136">
        <v>18651</v>
      </c>
      <c r="D30" s="136">
        <v>18000</v>
      </c>
      <c r="E30" s="136">
        <v>6600</v>
      </c>
      <c r="F30" s="175">
        <v>15000</v>
      </c>
      <c r="G30" s="137">
        <f>E30/C30</f>
        <v>0.35386842528550749</v>
      </c>
      <c r="H30" s="137">
        <f t="shared" si="1"/>
        <v>0.36666666666666664</v>
      </c>
      <c r="I30" s="137">
        <f t="shared" si="2"/>
        <v>0.83333333333333337</v>
      </c>
      <c r="J30" s="138"/>
    </row>
    <row r="31" spans="1:12" s="133" customFormat="1" ht="18.75" customHeight="1">
      <c r="A31" s="128">
        <v>8</v>
      </c>
      <c r="B31" s="129" t="s">
        <v>312</v>
      </c>
      <c r="C31" s="130">
        <v>21</v>
      </c>
      <c r="D31" s="130">
        <v>1000</v>
      </c>
      <c r="E31" s="130">
        <v>4200</v>
      </c>
      <c r="F31" s="174">
        <v>3000</v>
      </c>
      <c r="G31" s="137">
        <f>E31/C31</f>
        <v>200</v>
      </c>
      <c r="H31" s="137">
        <f t="shared" si="1"/>
        <v>4.2</v>
      </c>
      <c r="I31" s="137">
        <f t="shared" si="2"/>
        <v>3</v>
      </c>
      <c r="J31" s="132"/>
    </row>
    <row r="32" spans="1:12" s="133" customFormat="1" ht="18.75" customHeight="1">
      <c r="A32" s="128">
        <v>9</v>
      </c>
      <c r="B32" s="129" t="s">
        <v>105</v>
      </c>
      <c r="C32" s="130">
        <v>111</v>
      </c>
      <c r="D32" s="130">
        <v>50</v>
      </c>
      <c r="E32" s="130">
        <v>230</v>
      </c>
      <c r="F32" s="174">
        <v>80</v>
      </c>
      <c r="G32" s="131">
        <f t="shared" si="0"/>
        <v>2.0720720720720722</v>
      </c>
      <c r="H32" s="131">
        <f t="shared" si="1"/>
        <v>4.5999999999999996</v>
      </c>
      <c r="I32" s="131">
        <f t="shared" si="2"/>
        <v>1.6</v>
      </c>
      <c r="J32" s="132"/>
    </row>
    <row r="33" spans="1:12" s="133" customFormat="1" ht="35.25" customHeight="1">
      <c r="A33" s="154">
        <v>10</v>
      </c>
      <c r="B33" s="140" t="s">
        <v>107</v>
      </c>
      <c r="C33" s="130">
        <v>177</v>
      </c>
      <c r="D33" s="130">
        <v>50</v>
      </c>
      <c r="E33" s="130">
        <v>70</v>
      </c>
      <c r="F33" s="174">
        <v>100</v>
      </c>
      <c r="G33" s="131">
        <f t="shared" si="0"/>
        <v>0.39548022598870058</v>
      </c>
      <c r="H33" s="131">
        <f t="shared" si="1"/>
        <v>1.4</v>
      </c>
      <c r="I33" s="131">
        <f t="shared" si="2"/>
        <v>2</v>
      </c>
      <c r="J33" s="132"/>
    </row>
    <row r="34" spans="1:12" s="133" customFormat="1" ht="19.5" customHeight="1">
      <c r="A34" s="128">
        <v>11</v>
      </c>
      <c r="B34" s="129" t="s">
        <v>21</v>
      </c>
      <c r="C34" s="130">
        <f>SUM(C35,C36)</f>
        <v>2111</v>
      </c>
      <c r="D34" s="130">
        <f>SUM(D35,D36)</f>
        <v>1600</v>
      </c>
      <c r="E34" s="130">
        <v>4000</v>
      </c>
      <c r="F34" s="174">
        <f>SUM(F35,F36)</f>
        <v>2100</v>
      </c>
      <c r="G34" s="131">
        <f t="shared" si="0"/>
        <v>1.8948365703458077</v>
      </c>
      <c r="H34" s="131">
        <f t="shared" si="1"/>
        <v>2.5</v>
      </c>
      <c r="I34" s="131">
        <f t="shared" si="2"/>
        <v>1.3125</v>
      </c>
      <c r="J34" s="132"/>
    </row>
    <row r="35" spans="1:12" s="151" customFormat="1" ht="36" customHeight="1">
      <c r="A35" s="148"/>
      <c r="B35" s="155" t="s">
        <v>141</v>
      </c>
      <c r="C35" s="144">
        <v>1267</v>
      </c>
      <c r="D35" s="144">
        <v>1000</v>
      </c>
      <c r="E35" s="144">
        <v>3400</v>
      </c>
      <c r="F35" s="176">
        <v>1480</v>
      </c>
      <c r="G35" s="145">
        <f t="shared" si="0"/>
        <v>2.6835043409629047</v>
      </c>
      <c r="H35" s="145">
        <f t="shared" si="1"/>
        <v>3.4</v>
      </c>
      <c r="I35" s="145">
        <f t="shared" si="2"/>
        <v>1.48</v>
      </c>
      <c r="J35" s="149"/>
      <c r="L35" s="33"/>
    </row>
    <row r="36" spans="1:12" s="151" customFormat="1" ht="18.75" customHeight="1">
      <c r="A36" s="148"/>
      <c r="B36" s="142" t="s">
        <v>313</v>
      </c>
      <c r="C36" s="144">
        <v>844</v>
      </c>
      <c r="D36" s="144">
        <v>600</v>
      </c>
      <c r="E36" s="144">
        <v>600</v>
      </c>
      <c r="F36" s="176">
        <v>620</v>
      </c>
      <c r="G36" s="145">
        <f t="shared" si="0"/>
        <v>0.7109004739336493</v>
      </c>
      <c r="H36" s="145">
        <f t="shared" si="1"/>
        <v>1</v>
      </c>
      <c r="I36" s="145">
        <f t="shared" si="2"/>
        <v>1.0333333333333334</v>
      </c>
      <c r="J36" s="149"/>
    </row>
    <row r="37" spans="1:12" s="127" customFormat="1" ht="21" customHeight="1">
      <c r="A37" s="122" t="s">
        <v>2</v>
      </c>
      <c r="B37" s="123" t="s">
        <v>314</v>
      </c>
      <c r="C37" s="124">
        <f>C38+C39+C42+C43+C44</f>
        <v>824215</v>
      </c>
      <c r="D37" s="124">
        <f>D38+D39+D42+D43+D44</f>
        <v>715818</v>
      </c>
      <c r="E37" s="124">
        <f>E38+E39+E42+E43+E44</f>
        <v>842141</v>
      </c>
      <c r="F37" s="173">
        <f>F38+F39+F42+F43+F44</f>
        <v>734734</v>
      </c>
      <c r="G37" s="125">
        <f t="shared" si="0"/>
        <v>1.0217491795223335</v>
      </c>
      <c r="H37" s="125">
        <f t="shared" si="1"/>
        <v>1.1764736287715591</v>
      </c>
      <c r="I37" s="125">
        <f t="shared" si="2"/>
        <v>1.0264257115635538</v>
      </c>
      <c r="J37" s="156"/>
    </row>
    <row r="38" spans="1:12" s="133" customFormat="1" ht="18.75" customHeight="1">
      <c r="A38" s="128">
        <v>1</v>
      </c>
      <c r="B38" s="129" t="s">
        <v>315</v>
      </c>
      <c r="C38" s="130">
        <v>51491</v>
      </c>
      <c r="D38" s="130">
        <v>51145</v>
      </c>
      <c r="E38" s="130">
        <f>E9-E20-E35-1000</f>
        <v>49310</v>
      </c>
      <c r="F38" s="174">
        <v>50600</v>
      </c>
      <c r="G38" s="131">
        <f>E38/C38</f>
        <v>0.95764308325726821</v>
      </c>
      <c r="H38" s="131">
        <f>E38/D38</f>
        <v>0.96412161501613058</v>
      </c>
      <c r="I38" s="131">
        <f>F38/D38</f>
        <v>0.98934402189852377</v>
      </c>
      <c r="J38" s="157"/>
    </row>
    <row r="39" spans="1:12" s="139" customFormat="1" ht="18.75" customHeight="1">
      <c r="A39" s="158">
        <v>2</v>
      </c>
      <c r="B39" s="159" t="s">
        <v>316</v>
      </c>
      <c r="C39" s="130">
        <f>C40+C41</f>
        <v>669778</v>
      </c>
      <c r="D39" s="130">
        <f>D40+D41</f>
        <v>664673</v>
      </c>
      <c r="E39" s="130">
        <f>E40+E41</f>
        <v>752248</v>
      </c>
      <c r="F39" s="174">
        <f>F40+F41</f>
        <v>684134</v>
      </c>
      <c r="G39" s="131">
        <f t="shared" si="0"/>
        <v>1.1231303506535002</v>
      </c>
      <c r="H39" s="131">
        <f t="shared" si="1"/>
        <v>1.1317565178666804</v>
      </c>
      <c r="I39" s="131">
        <f t="shared" si="2"/>
        <v>1.0292790590260172</v>
      </c>
      <c r="J39" s="132"/>
    </row>
    <row r="40" spans="1:12" s="139" customFormat="1" ht="18.75" customHeight="1">
      <c r="A40" s="158"/>
      <c r="B40" s="160" t="s">
        <v>317</v>
      </c>
      <c r="C40" s="136">
        <v>633248</v>
      </c>
      <c r="D40" s="136">
        <v>664529</v>
      </c>
      <c r="E40" s="136">
        <v>664529</v>
      </c>
      <c r="F40" s="175">
        <v>684106</v>
      </c>
      <c r="G40" s="137">
        <f t="shared" si="0"/>
        <v>1.0493977083228057</v>
      </c>
      <c r="H40" s="137">
        <f t="shared" si="1"/>
        <v>1</v>
      </c>
      <c r="I40" s="137">
        <f t="shared" si="2"/>
        <v>1.0294599633725541</v>
      </c>
      <c r="J40" s="138"/>
    </row>
    <row r="41" spans="1:12" s="139" customFormat="1" ht="18.75" customHeight="1">
      <c r="A41" s="158"/>
      <c r="B41" s="160" t="s">
        <v>318</v>
      </c>
      <c r="C41" s="136">
        <v>36530</v>
      </c>
      <c r="D41" s="136">
        <v>144</v>
      </c>
      <c r="E41" s="136">
        <v>87719</v>
      </c>
      <c r="F41" s="175">
        <v>28</v>
      </c>
      <c r="G41" s="137">
        <f>E41/C41</f>
        <v>2.4012866137421298</v>
      </c>
      <c r="H41" s="137">
        <f t="shared" si="1"/>
        <v>609.15972222222217</v>
      </c>
      <c r="I41" s="137">
        <f t="shared" si="2"/>
        <v>0.19444444444444445</v>
      </c>
      <c r="J41" s="138"/>
    </row>
    <row r="42" spans="1:12" s="139" customFormat="1" ht="18.75" customHeight="1">
      <c r="A42" s="158">
        <v>3</v>
      </c>
      <c r="B42" s="159" t="s">
        <v>319</v>
      </c>
      <c r="C42" s="130">
        <v>892</v>
      </c>
      <c r="D42" s="130"/>
      <c r="E42" s="130">
        <v>521</v>
      </c>
      <c r="F42" s="174"/>
      <c r="G42" s="131">
        <f>E42/C42</f>
        <v>0.5840807174887892</v>
      </c>
      <c r="H42" s="131"/>
      <c r="I42" s="131"/>
      <c r="J42" s="132"/>
    </row>
    <row r="43" spans="1:12" s="139" customFormat="1" ht="18.75" customHeight="1">
      <c r="A43" s="158">
        <v>4</v>
      </c>
      <c r="B43" s="159" t="s">
        <v>320</v>
      </c>
      <c r="C43" s="130">
        <v>102054</v>
      </c>
      <c r="D43" s="130"/>
      <c r="E43" s="130">
        <v>40062</v>
      </c>
      <c r="F43" s="174"/>
      <c r="G43" s="131">
        <f t="shared" si="0"/>
        <v>0.3925568816508907</v>
      </c>
      <c r="H43" s="131"/>
      <c r="I43" s="131"/>
      <c r="J43" s="132"/>
    </row>
    <row r="44" spans="1:12" s="139" customFormat="1" ht="18.75" customHeight="1">
      <c r="A44" s="161">
        <v>5</v>
      </c>
      <c r="B44" s="162" t="s">
        <v>321</v>
      </c>
      <c r="C44" s="163"/>
      <c r="D44" s="163"/>
      <c r="E44" s="163"/>
      <c r="F44" s="177"/>
      <c r="G44" s="164"/>
      <c r="H44" s="164"/>
      <c r="I44" s="164"/>
      <c r="J44" s="132"/>
    </row>
    <row r="45" spans="1:12">
      <c r="G45" s="165"/>
    </row>
    <row r="46" spans="1:12">
      <c r="C46" s="166"/>
      <c r="D46" s="166"/>
      <c r="E46" s="166"/>
    </row>
    <row r="47" spans="1:12">
      <c r="C47" s="166"/>
      <c r="D47" s="166"/>
      <c r="E47" s="166"/>
    </row>
  </sheetData>
  <mergeCells count="13">
    <mergeCell ref="G6:G7"/>
    <mergeCell ref="H6:H7"/>
    <mergeCell ref="I6:I7"/>
    <mergeCell ref="H1:I1"/>
    <mergeCell ref="A2:I2"/>
    <mergeCell ref="A3:I3"/>
    <mergeCell ref="A5:A7"/>
    <mergeCell ref="B5:B7"/>
    <mergeCell ref="C5:C7"/>
    <mergeCell ref="D5:D7"/>
    <mergeCell ref="E5:E7"/>
    <mergeCell ref="F5:F7"/>
    <mergeCell ref="G5:I5"/>
  </mergeCells>
  <pageMargins left="0.47244094488188981" right="0.35433070866141736" top="0.70866141732283472" bottom="0.62992125984251968" header="0.39370078740157483" footer="0.31496062992125984"/>
  <pageSetup paperSize="9" scale="77"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93"/>
  <sheetViews>
    <sheetView zoomScaleNormal="100" workbookViewId="0">
      <pane ySplit="7" topLeftCell="A84" activePane="bottomLeft" state="frozen"/>
      <selection pane="bottomLeft" activeCell="V76" sqref="V76"/>
    </sheetView>
  </sheetViews>
  <sheetFormatPr defaultColWidth="9.1796875" defaultRowHeight="15.5"/>
  <cols>
    <col min="1" max="1" width="5.54296875" style="8" customWidth="1"/>
    <col min="2" max="2" width="55.1796875" style="8" customWidth="1"/>
    <col min="3" max="4" width="10.26953125" style="8" customWidth="1"/>
    <col min="5" max="6" width="9.26953125" style="178" hidden="1" customWidth="1"/>
    <col min="7" max="7" width="10.26953125" style="8" customWidth="1"/>
    <col min="8" max="9" width="9.453125" style="8" customWidth="1"/>
    <col min="10" max="11" width="9.453125" style="40" customWidth="1"/>
    <col min="12" max="12" width="5" style="40" customWidth="1"/>
    <col min="13" max="13" width="9.26953125" style="41" hidden="1" customWidth="1"/>
    <col min="14" max="14" width="9.26953125" style="42" hidden="1" customWidth="1"/>
    <col min="15" max="15" width="9.26953125" style="43" hidden="1" customWidth="1"/>
    <col min="16" max="16" width="17" style="42" hidden="1" customWidth="1"/>
    <col min="17" max="17" width="9.26953125" style="8" hidden="1" customWidth="1"/>
    <col min="18" max="16384" width="9.1796875" style="8"/>
  </cols>
  <sheetData>
    <row r="1" spans="1:18" ht="19.5" customHeight="1">
      <c r="J1" s="376" t="s">
        <v>218</v>
      </c>
      <c r="K1" s="376"/>
    </row>
    <row r="2" spans="1:18" ht="18" customHeight="1">
      <c r="A2" s="377" t="s">
        <v>322</v>
      </c>
      <c r="B2" s="377"/>
      <c r="C2" s="377"/>
      <c r="D2" s="377"/>
      <c r="E2" s="377"/>
      <c r="F2" s="377"/>
      <c r="G2" s="377"/>
      <c r="H2" s="377"/>
      <c r="I2" s="377"/>
      <c r="J2" s="377"/>
      <c r="K2" s="377"/>
    </row>
    <row r="3" spans="1:18" ht="18" customHeight="1">
      <c r="A3" s="378" t="str">
        <f>'Thu 2022'!A3:I3</f>
        <v>(Kèm theo Báo cáo số            /BC-UBND ngày       tháng 12 năm 2022 của UBND huyện Tuần Giáo)</v>
      </c>
      <c r="B3" s="378"/>
      <c r="C3" s="378"/>
      <c r="D3" s="378"/>
      <c r="E3" s="378"/>
      <c r="F3" s="378"/>
      <c r="G3" s="378"/>
      <c r="H3" s="378"/>
      <c r="I3" s="378"/>
      <c r="J3" s="378"/>
      <c r="K3" s="378"/>
    </row>
    <row r="4" spans="1:18" ht="18" customHeight="1">
      <c r="C4" s="179">
        <f>C9-[1]Thu!C37</f>
        <v>0</v>
      </c>
      <c r="D4" s="179">
        <f>D9-[1]Thu!D37</f>
        <v>0</v>
      </c>
      <c r="E4" s="180" t="s">
        <v>323</v>
      </c>
      <c r="F4" s="180" t="s">
        <v>323</v>
      </c>
      <c r="G4" s="179">
        <f>G9-[1]Thu!E37</f>
        <v>0</v>
      </c>
      <c r="H4" s="181"/>
      <c r="I4" s="44"/>
      <c r="J4" s="45" t="s">
        <v>285</v>
      </c>
      <c r="K4" s="15"/>
      <c r="L4" s="15"/>
      <c r="M4" s="46">
        <v>87575</v>
      </c>
      <c r="N4" s="46" t="s">
        <v>324</v>
      </c>
    </row>
    <row r="5" spans="1:18" s="47" customFormat="1" ht="15.75" customHeight="1">
      <c r="A5" s="379" t="s">
        <v>286</v>
      </c>
      <c r="B5" s="380" t="s">
        <v>287</v>
      </c>
      <c r="C5" s="381" t="s">
        <v>288</v>
      </c>
      <c r="D5" s="384" t="s">
        <v>289</v>
      </c>
      <c r="E5" s="387" t="s">
        <v>325</v>
      </c>
      <c r="F5" s="387" t="s">
        <v>326</v>
      </c>
      <c r="G5" s="381" t="s">
        <v>290</v>
      </c>
      <c r="H5" s="390" t="s">
        <v>291</v>
      </c>
      <c r="I5" s="380" t="s">
        <v>292</v>
      </c>
      <c r="J5" s="380"/>
      <c r="K5" s="380"/>
      <c r="L5" s="46"/>
      <c r="M5" s="46">
        <v>1303.5</v>
      </c>
      <c r="N5" s="46" t="s">
        <v>327</v>
      </c>
      <c r="P5" s="46"/>
      <c r="Q5" s="46"/>
    </row>
    <row r="6" spans="1:18" s="47" customFormat="1" ht="15.75" customHeight="1">
      <c r="A6" s="379"/>
      <c r="B6" s="380"/>
      <c r="C6" s="382"/>
      <c r="D6" s="385"/>
      <c r="E6" s="388"/>
      <c r="F6" s="388"/>
      <c r="G6" s="382"/>
      <c r="H6" s="391"/>
      <c r="I6" s="393" t="s">
        <v>293</v>
      </c>
      <c r="J6" s="393" t="s">
        <v>294</v>
      </c>
      <c r="K6" s="393" t="s">
        <v>295</v>
      </c>
      <c r="L6" s="46"/>
      <c r="M6" s="46">
        <v>128.5</v>
      </c>
      <c r="N6" s="46" t="s">
        <v>328</v>
      </c>
      <c r="P6" s="46"/>
      <c r="Q6" s="46"/>
    </row>
    <row r="7" spans="1:18" s="47" customFormat="1" ht="49.5" customHeight="1">
      <c r="A7" s="379"/>
      <c r="B7" s="380"/>
      <c r="C7" s="383"/>
      <c r="D7" s="386"/>
      <c r="E7" s="389"/>
      <c r="F7" s="389"/>
      <c r="G7" s="383"/>
      <c r="H7" s="392"/>
      <c r="I7" s="394"/>
      <c r="J7" s="394"/>
      <c r="K7" s="394"/>
      <c r="L7" s="46"/>
      <c r="M7" s="46">
        <v>12458</v>
      </c>
      <c r="N7" s="47" t="s">
        <v>329</v>
      </c>
      <c r="O7" s="182" t="s">
        <v>330</v>
      </c>
      <c r="P7" s="46"/>
      <c r="Q7" s="46"/>
    </row>
    <row r="8" spans="1:18" s="37" customFormat="1" ht="15.75" customHeight="1">
      <c r="A8" s="35" t="s">
        <v>1</v>
      </c>
      <c r="B8" s="36" t="s">
        <v>2</v>
      </c>
      <c r="C8" s="35">
        <v>1</v>
      </c>
      <c r="D8" s="35">
        <v>2</v>
      </c>
      <c r="E8" s="183"/>
      <c r="F8" s="184"/>
      <c r="G8" s="35">
        <v>3</v>
      </c>
      <c r="H8" s="35">
        <v>4</v>
      </c>
      <c r="I8" s="35" t="s">
        <v>296</v>
      </c>
      <c r="J8" s="35" t="s">
        <v>297</v>
      </c>
      <c r="K8" s="35" t="s">
        <v>298</v>
      </c>
      <c r="L8" s="48"/>
      <c r="M8" s="49">
        <v>1775</v>
      </c>
      <c r="N8" s="47" t="s">
        <v>331</v>
      </c>
      <c r="O8" s="50" t="s">
        <v>332</v>
      </c>
      <c r="P8" s="51"/>
      <c r="Q8" s="48"/>
    </row>
    <row r="9" spans="1:18" s="58" customFormat="1" ht="21.75" customHeight="1">
      <c r="A9" s="52"/>
      <c r="B9" s="53" t="s">
        <v>333</v>
      </c>
      <c r="C9" s="54">
        <f t="shared" ref="C9:G9" si="0">C10+C61+C83+C89+C90</f>
        <v>824215</v>
      </c>
      <c r="D9" s="54">
        <f t="shared" si="0"/>
        <v>715818</v>
      </c>
      <c r="E9" s="185">
        <f t="shared" si="0"/>
        <v>40061.599999999999</v>
      </c>
      <c r="F9" s="185">
        <f t="shared" si="0"/>
        <v>103239.94699999999</v>
      </c>
      <c r="G9" s="54">
        <f t="shared" si="0"/>
        <v>842141</v>
      </c>
      <c r="H9" s="54">
        <f>H10+H61+H83+H89+H90</f>
        <v>734734</v>
      </c>
      <c r="I9" s="55">
        <f t="shared" ref="I9:I20" si="1">G9/C9</f>
        <v>1.0217491795223335</v>
      </c>
      <c r="J9" s="56">
        <f t="shared" ref="J9:J13" si="2">G9/D9</f>
        <v>1.1764736287715591</v>
      </c>
      <c r="K9" s="55">
        <f t="shared" ref="K9:K13" si="3">H9/D9</f>
        <v>1.0264257115635538</v>
      </c>
      <c r="L9" s="57"/>
      <c r="M9" s="57">
        <f>+M4+M5+M6+M7+M8</f>
        <v>103240</v>
      </c>
      <c r="N9" s="57"/>
      <c r="O9" s="50" t="s">
        <v>334</v>
      </c>
      <c r="P9" s="57"/>
      <c r="Q9" s="57"/>
    </row>
    <row r="10" spans="1:18" s="58" customFormat="1" ht="18" customHeight="1">
      <c r="A10" s="59" t="s">
        <v>1</v>
      </c>
      <c r="B10" s="60" t="s">
        <v>72</v>
      </c>
      <c r="C10" s="54">
        <f t="shared" ref="C10:H10" si="4">C11+C16+C60</f>
        <v>729641</v>
      </c>
      <c r="D10" s="54">
        <f t="shared" si="4"/>
        <v>715674</v>
      </c>
      <c r="E10" s="185">
        <f t="shared" si="4"/>
        <v>38692.5</v>
      </c>
      <c r="F10" s="185">
        <f t="shared" si="4"/>
        <v>40282.299999999996</v>
      </c>
      <c r="G10" s="54">
        <f t="shared" si="4"/>
        <v>743379.7</v>
      </c>
      <c r="H10" s="54">
        <f t="shared" si="4"/>
        <v>734706</v>
      </c>
      <c r="I10" s="61">
        <f t="shared" si="1"/>
        <v>1.0188293969225961</v>
      </c>
      <c r="J10" s="62">
        <f t="shared" si="2"/>
        <v>1.0387127379225736</v>
      </c>
      <c r="K10" s="61">
        <f t="shared" si="3"/>
        <v>1.0265931136243598</v>
      </c>
      <c r="L10" s="57"/>
      <c r="M10" s="63"/>
      <c r="N10" s="63"/>
      <c r="P10" s="63"/>
    </row>
    <row r="11" spans="1:18" s="11" customFormat="1" ht="18" customHeight="1">
      <c r="A11" s="64" t="s">
        <v>3</v>
      </c>
      <c r="B11" s="65" t="s">
        <v>23</v>
      </c>
      <c r="C11" s="66">
        <f t="shared" ref="C11:H11" si="5">C12+C13+C14+C15</f>
        <v>27186</v>
      </c>
      <c r="D11" s="66">
        <f t="shared" si="5"/>
        <v>40234</v>
      </c>
      <c r="E11" s="186">
        <f t="shared" si="5"/>
        <v>19894.5</v>
      </c>
      <c r="F11" s="186">
        <f t="shared" si="5"/>
        <v>0</v>
      </c>
      <c r="G11" s="66">
        <f t="shared" si="5"/>
        <v>40311</v>
      </c>
      <c r="H11" s="66">
        <f t="shared" si="5"/>
        <v>36868</v>
      </c>
      <c r="I11" s="67">
        <f t="shared" si="1"/>
        <v>1.4827852571176341</v>
      </c>
      <c r="J11" s="79">
        <f t="shared" si="2"/>
        <v>1.0019138042451659</v>
      </c>
      <c r="K11" s="67">
        <f t="shared" si="3"/>
        <v>0.91633941442561018</v>
      </c>
      <c r="L11" s="30"/>
      <c r="M11" s="69"/>
      <c r="N11" s="69"/>
      <c r="O11" s="43" t="s">
        <v>335</v>
      </c>
      <c r="P11" s="69"/>
    </row>
    <row r="12" spans="1:18" ht="16.5" customHeight="1">
      <c r="A12" s="70">
        <v>1</v>
      </c>
      <c r="B12" s="71" t="s">
        <v>336</v>
      </c>
      <c r="C12" s="72">
        <v>8453</v>
      </c>
      <c r="D12" s="72">
        <v>22234</v>
      </c>
      <c r="E12" s="187">
        <f>13661.3+120</f>
        <v>13781.3</v>
      </c>
      <c r="F12" s="187"/>
      <c r="G12" s="72">
        <f>22234+(7783+120)</f>
        <v>30137</v>
      </c>
      <c r="H12" s="72">
        <f>'Chi 2023'!C10</f>
        <v>23368</v>
      </c>
      <c r="I12" s="73">
        <f t="shared" si="1"/>
        <v>3.5652431089554004</v>
      </c>
      <c r="J12" s="74">
        <f t="shared" si="2"/>
        <v>1.3554466132949536</v>
      </c>
      <c r="K12" s="73">
        <f t="shared" si="3"/>
        <v>1.0510029684267339</v>
      </c>
      <c r="L12" s="15"/>
      <c r="M12" s="42"/>
      <c r="O12" s="8" t="s">
        <v>337</v>
      </c>
    </row>
    <row r="13" spans="1:18" ht="16.5" customHeight="1">
      <c r="A13" s="70">
        <v>2</v>
      </c>
      <c r="B13" s="71" t="s">
        <v>121</v>
      </c>
      <c r="C13" s="72">
        <v>17782</v>
      </c>
      <c r="D13" s="72">
        <v>18000</v>
      </c>
      <c r="E13" s="187">
        <f>3442.7+2078.9+362</f>
        <v>5883.6</v>
      </c>
      <c r="F13" s="187"/>
      <c r="G13" s="72">
        <v>10174</v>
      </c>
      <c r="H13" s="72">
        <f>'Chi 2023'!C11</f>
        <v>13500</v>
      </c>
      <c r="I13" s="73">
        <f t="shared" si="1"/>
        <v>0.57215161399167702</v>
      </c>
      <c r="J13" s="74">
        <f t="shared" si="2"/>
        <v>0.56522222222222218</v>
      </c>
      <c r="K13" s="73">
        <f t="shared" si="3"/>
        <v>0.75</v>
      </c>
      <c r="L13" s="15"/>
      <c r="M13" s="42"/>
      <c r="O13" s="43" t="s">
        <v>338</v>
      </c>
      <c r="R13" s="15"/>
    </row>
    <row r="14" spans="1:18" ht="16.5" customHeight="1">
      <c r="A14" s="70">
        <v>3</v>
      </c>
      <c r="B14" s="71" t="s">
        <v>339</v>
      </c>
      <c r="C14" s="72">
        <v>951</v>
      </c>
      <c r="D14" s="72"/>
      <c r="E14" s="187">
        <v>229.6</v>
      </c>
      <c r="F14" s="187"/>
      <c r="G14" s="72"/>
      <c r="H14" s="72"/>
      <c r="I14" s="73"/>
      <c r="J14" s="74"/>
      <c r="K14" s="73"/>
      <c r="L14" s="15"/>
      <c r="M14" s="42"/>
    </row>
    <row r="15" spans="1:18" s="11" customFormat="1" hidden="1">
      <c r="A15" s="64">
        <v>4</v>
      </c>
      <c r="B15" s="65" t="s">
        <v>340</v>
      </c>
      <c r="C15" s="72"/>
      <c r="D15" s="72"/>
      <c r="E15" s="187"/>
      <c r="F15" s="187"/>
      <c r="G15" s="72"/>
      <c r="H15" s="72"/>
      <c r="I15" s="73" t="e">
        <f t="shared" si="1"/>
        <v>#DIV/0!</v>
      </c>
      <c r="J15" s="74" t="e">
        <f t="shared" ref="J15" si="6">G15/D15</f>
        <v>#DIV/0!</v>
      </c>
      <c r="K15" s="73" t="e">
        <f t="shared" ref="K15" si="7">H15/D15</f>
        <v>#DIV/0!</v>
      </c>
      <c r="L15" s="30"/>
      <c r="M15" s="69"/>
      <c r="N15" s="69"/>
      <c r="O15" s="75"/>
      <c r="P15" s="69"/>
    </row>
    <row r="16" spans="1:18" s="11" customFormat="1" ht="18" customHeight="1">
      <c r="A16" s="64" t="s">
        <v>4</v>
      </c>
      <c r="B16" s="65" t="s">
        <v>24</v>
      </c>
      <c r="C16" s="66">
        <f>C17+C18+C19+C32+C33+C36+C37+C38+C39+C40+C50+C51+C56</f>
        <v>702455</v>
      </c>
      <c r="D16" s="66">
        <f>D17+D18+D19+D32+D33+D36+D37+D38+D39+D40+D50+D51+D56</f>
        <v>661207</v>
      </c>
      <c r="E16" s="186">
        <f>E17+E18+E19+E32+E33+E36+E37+E38+E39+E40+E50+E51+E56</f>
        <v>18798</v>
      </c>
      <c r="F16" s="186">
        <f>F17+F18+F19+F32+F33+F36+F37+F38+F39+F40+F50+F51+F56</f>
        <v>38950.499999999993</v>
      </c>
      <c r="G16" s="66">
        <f>G17+G18+G19+G32+G33+G36+G37+G38+G39+G40+G50+G51+G56</f>
        <v>703068.7</v>
      </c>
      <c r="H16" s="66">
        <f>H17+H18+H19+H32+H33+H36+H37+H38+H39+H40+H50+H51+H56+H57</f>
        <v>683144</v>
      </c>
      <c r="I16" s="67">
        <f t="shared" si="1"/>
        <v>1.0008736502694122</v>
      </c>
      <c r="J16" s="68">
        <f>G16/D16</f>
        <v>1.063311035727087</v>
      </c>
      <c r="K16" s="67">
        <f>H16/D16</f>
        <v>1.0331772047180383</v>
      </c>
      <c r="L16" s="30"/>
      <c r="M16" s="69"/>
      <c r="N16" s="69"/>
      <c r="O16" s="75"/>
      <c r="P16" s="69"/>
    </row>
    <row r="17" spans="1:19" s="11" customFormat="1" ht="17.25" customHeight="1">
      <c r="A17" s="64">
        <v>1</v>
      </c>
      <c r="B17" s="65" t="s">
        <v>73</v>
      </c>
      <c r="C17" s="66">
        <v>6321</v>
      </c>
      <c r="D17" s="66">
        <v>6543</v>
      </c>
      <c r="E17" s="186">
        <f>93.4+23+70.3</f>
        <v>186.7</v>
      </c>
      <c r="F17" s="186">
        <f>1263.8+339.8+20.2</f>
        <v>1623.8</v>
      </c>
      <c r="G17" s="66">
        <f>D17+E17+F17</f>
        <v>8353.5</v>
      </c>
      <c r="H17" s="66">
        <f>'Chi 2023'!C15</f>
        <v>9082</v>
      </c>
      <c r="I17" s="67">
        <f t="shared" si="1"/>
        <v>1.321547223540579</v>
      </c>
      <c r="J17" s="68">
        <f>G17/D17</f>
        <v>1.2767079321412196</v>
      </c>
      <c r="K17" s="67">
        <f>H17/D17</f>
        <v>1.3880482958887361</v>
      </c>
      <c r="L17" s="30"/>
      <c r="M17" s="69"/>
      <c r="N17" s="69"/>
      <c r="O17" s="75"/>
      <c r="P17" s="69"/>
    </row>
    <row r="18" spans="1:19" s="11" customFormat="1" ht="15">
      <c r="A18" s="64">
        <v>2</v>
      </c>
      <c r="B18" s="65" t="s">
        <v>74</v>
      </c>
      <c r="C18" s="66">
        <v>2787</v>
      </c>
      <c r="D18" s="66">
        <v>3299</v>
      </c>
      <c r="E18" s="186">
        <f>13.5+51+79.3+34</f>
        <v>177.8</v>
      </c>
      <c r="F18" s="186">
        <v>300</v>
      </c>
      <c r="G18" s="66">
        <f>D18+E18+F18</f>
        <v>3776.8</v>
      </c>
      <c r="H18" s="66">
        <f>'Chi 2023'!C19</f>
        <v>3299</v>
      </c>
      <c r="I18" s="67">
        <f t="shared" si="1"/>
        <v>1.3551489056332975</v>
      </c>
      <c r="J18" s="68">
        <f>G18/D18</f>
        <v>1.1448317672021826</v>
      </c>
      <c r="K18" s="67">
        <f>H18/D18</f>
        <v>1</v>
      </c>
      <c r="L18" s="30"/>
      <c r="M18" s="69"/>
      <c r="N18" s="69"/>
      <c r="O18" s="75"/>
      <c r="P18" s="69"/>
      <c r="S18" s="30"/>
    </row>
    <row r="19" spans="1:19" s="11" customFormat="1" ht="15">
      <c r="A19" s="64">
        <v>3</v>
      </c>
      <c r="B19" s="65" t="s">
        <v>341</v>
      </c>
      <c r="C19" s="66">
        <f t="shared" ref="C19:G19" si="8">C20+C27</f>
        <v>417065</v>
      </c>
      <c r="D19" s="66">
        <f t="shared" si="8"/>
        <v>416126</v>
      </c>
      <c r="E19" s="186">
        <f t="shared" si="8"/>
        <v>6150</v>
      </c>
      <c r="F19" s="186">
        <f t="shared" si="8"/>
        <v>10323</v>
      </c>
      <c r="G19" s="66">
        <f t="shared" si="8"/>
        <v>432599</v>
      </c>
      <c r="H19" s="66">
        <f>H20+H27</f>
        <v>424405</v>
      </c>
      <c r="I19" s="67">
        <f t="shared" si="1"/>
        <v>1.0372459928308537</v>
      </c>
      <c r="J19" s="68">
        <f>G19/D19</f>
        <v>1.0395865675300269</v>
      </c>
      <c r="K19" s="67">
        <f>H19/D19</f>
        <v>1.0198954162921807</v>
      </c>
      <c r="L19" s="30"/>
      <c r="M19" s="69"/>
      <c r="N19" s="69"/>
      <c r="O19" s="75"/>
      <c r="P19" s="69"/>
    </row>
    <row r="20" spans="1:19">
      <c r="A20" s="70" t="s">
        <v>28</v>
      </c>
      <c r="B20" s="71" t="s">
        <v>75</v>
      </c>
      <c r="C20" s="72">
        <v>410073</v>
      </c>
      <c r="D20" s="72">
        <f>414260-4589</f>
        <v>409671</v>
      </c>
      <c r="E20" s="187">
        <f>52.5+1.9+6095.6</f>
        <v>6150</v>
      </c>
      <c r="F20" s="187">
        <f>2000+922+5561+1200+506</f>
        <v>10189</v>
      </c>
      <c r="G20" s="72">
        <f>D20+E20+F20</f>
        <v>426010</v>
      </c>
      <c r="H20" s="72">
        <f>'Chi 2023'!C22</f>
        <v>419005</v>
      </c>
      <c r="I20" s="73">
        <f t="shared" si="1"/>
        <v>1.0388638120529758</v>
      </c>
      <c r="J20" s="74">
        <f>G20/D20</f>
        <v>1.0398832233670434</v>
      </c>
      <c r="K20" s="73">
        <f>H20/D20</f>
        <v>1.0227841365388324</v>
      </c>
      <c r="L20" s="15"/>
      <c r="M20" s="42"/>
    </row>
    <row r="21" spans="1:19">
      <c r="A21" s="70"/>
      <c r="B21" s="71" t="s">
        <v>342</v>
      </c>
      <c r="C21" s="72"/>
      <c r="D21" s="72"/>
      <c r="E21" s="187"/>
      <c r="F21" s="187"/>
      <c r="G21" s="72"/>
      <c r="H21" s="72"/>
      <c r="I21" s="73"/>
      <c r="J21" s="74"/>
      <c r="K21" s="73"/>
      <c r="L21" s="15"/>
      <c r="M21" s="42"/>
    </row>
    <row r="22" spans="1:19">
      <c r="A22" s="70"/>
      <c r="B22" s="76" t="s">
        <v>343</v>
      </c>
      <c r="C22" s="72">
        <v>9431</v>
      </c>
      <c r="D22" s="72">
        <v>10770</v>
      </c>
      <c r="E22" s="187"/>
      <c r="F22" s="187"/>
      <c r="G22" s="72">
        <f t="shared" ref="G22:G27" si="9">D22+E22+F22</f>
        <v>10770</v>
      </c>
      <c r="H22" s="72">
        <f>'Chi 2023'!C23</f>
        <v>10557</v>
      </c>
      <c r="I22" s="73">
        <f>G22/C22</f>
        <v>1.1419785812745202</v>
      </c>
      <c r="J22" s="74">
        <f>G22/D22</f>
        <v>1</v>
      </c>
      <c r="K22" s="73">
        <f>H22/D22</f>
        <v>0.98022284122562675</v>
      </c>
      <c r="L22" s="15"/>
      <c r="M22" s="42"/>
    </row>
    <row r="23" spans="1:19">
      <c r="A23" s="70"/>
      <c r="B23" s="76" t="s">
        <v>344</v>
      </c>
      <c r="C23" s="72">
        <v>12245</v>
      </c>
      <c r="D23" s="72">
        <v>13674</v>
      </c>
      <c r="E23" s="187"/>
      <c r="F23" s="187">
        <v>5561</v>
      </c>
      <c r="G23" s="72">
        <f t="shared" si="9"/>
        <v>19235</v>
      </c>
      <c r="H23" s="72">
        <f>'Chi 2023'!C27</f>
        <v>29712</v>
      </c>
      <c r="I23" s="73">
        <f t="shared" ref="I23:I27" si="10">G23/C23</f>
        <v>1.5708452429563087</v>
      </c>
      <c r="J23" s="74">
        <f t="shared" ref="J23:J27" si="11">G23/D23</f>
        <v>1.4066842182243675</v>
      </c>
      <c r="K23" s="73">
        <f t="shared" ref="K23:K27" si="12">H23/D23</f>
        <v>2.1728828433523475</v>
      </c>
      <c r="L23" s="15"/>
      <c r="M23" s="42"/>
    </row>
    <row r="24" spans="1:19">
      <c r="A24" s="70"/>
      <c r="B24" s="71" t="s">
        <v>345</v>
      </c>
      <c r="C24" s="72">
        <v>24566</v>
      </c>
      <c r="D24" s="72">
        <v>26743</v>
      </c>
      <c r="E24" s="187"/>
      <c r="F24" s="187">
        <v>506</v>
      </c>
      <c r="G24" s="72">
        <f t="shared" si="9"/>
        <v>27249</v>
      </c>
      <c r="H24" s="72">
        <f>'Chi 2023'!C30</f>
        <v>27294</v>
      </c>
      <c r="I24" s="73">
        <f t="shared" si="10"/>
        <v>1.109215989579093</v>
      </c>
      <c r="J24" s="74">
        <f t="shared" si="11"/>
        <v>1.0189208390980817</v>
      </c>
      <c r="K24" s="73">
        <f t="shared" si="12"/>
        <v>1.0206035224170811</v>
      </c>
      <c r="L24" s="15"/>
      <c r="M24" s="42"/>
    </row>
    <row r="25" spans="1:19">
      <c r="A25" s="70"/>
      <c r="B25" s="71" t="s">
        <v>346</v>
      </c>
      <c r="C25" s="72">
        <v>12</v>
      </c>
      <c r="D25" s="72">
        <v>18</v>
      </c>
      <c r="E25" s="187"/>
      <c r="F25" s="187"/>
      <c r="G25" s="72">
        <f t="shared" si="9"/>
        <v>18</v>
      </c>
      <c r="H25" s="72">
        <f>'Chi 2023'!C31</f>
        <v>18</v>
      </c>
      <c r="I25" s="73">
        <f t="shared" si="10"/>
        <v>1.5</v>
      </c>
      <c r="J25" s="74">
        <f t="shared" si="11"/>
        <v>1</v>
      </c>
      <c r="K25" s="73">
        <f t="shared" si="12"/>
        <v>1</v>
      </c>
      <c r="L25" s="15"/>
      <c r="M25" s="42"/>
    </row>
    <row r="26" spans="1:19" ht="33.75" customHeight="1">
      <c r="A26" s="70"/>
      <c r="B26" s="77" t="s">
        <v>347</v>
      </c>
      <c r="C26" s="72">
        <v>4710</v>
      </c>
      <c r="D26" s="72">
        <v>4844</v>
      </c>
      <c r="E26" s="187"/>
      <c r="F26" s="187"/>
      <c r="G26" s="72">
        <f t="shared" si="9"/>
        <v>4844</v>
      </c>
      <c r="H26" s="72">
        <f>'Chi 2023'!C32</f>
        <v>4758</v>
      </c>
      <c r="I26" s="73">
        <f t="shared" si="10"/>
        <v>1.0284501061571125</v>
      </c>
      <c r="J26" s="74">
        <f t="shared" si="11"/>
        <v>1</v>
      </c>
      <c r="K26" s="73">
        <f t="shared" si="12"/>
        <v>0.98224607762180016</v>
      </c>
      <c r="L26" s="15"/>
      <c r="M26" s="42"/>
    </row>
    <row r="27" spans="1:19" ht="16.5" customHeight="1">
      <c r="A27" s="70" t="s">
        <v>29</v>
      </c>
      <c r="B27" s="71" t="s">
        <v>76</v>
      </c>
      <c r="C27" s="72">
        <v>6992</v>
      </c>
      <c r="D27" s="72">
        <v>6455</v>
      </c>
      <c r="E27" s="187"/>
      <c r="F27" s="187">
        <v>134</v>
      </c>
      <c r="G27" s="72">
        <f t="shared" si="9"/>
        <v>6589</v>
      </c>
      <c r="H27" s="72">
        <f>'Chi 2023'!C33</f>
        <v>5400</v>
      </c>
      <c r="I27" s="73">
        <f t="shared" si="10"/>
        <v>0.94236270022883295</v>
      </c>
      <c r="J27" s="74">
        <f t="shared" si="11"/>
        <v>1.0207591014717274</v>
      </c>
      <c r="K27" s="73">
        <f t="shared" si="12"/>
        <v>0.83656080557707202</v>
      </c>
      <c r="L27" s="15"/>
      <c r="M27" s="42"/>
    </row>
    <row r="28" spans="1:19" ht="16.5" customHeight="1">
      <c r="A28" s="70"/>
      <c r="B28" s="71" t="s">
        <v>342</v>
      </c>
      <c r="C28" s="72"/>
      <c r="D28" s="72"/>
      <c r="E28" s="187"/>
      <c r="F28" s="187"/>
      <c r="G28" s="72"/>
      <c r="H28" s="72"/>
      <c r="I28" s="73"/>
      <c r="J28" s="74"/>
      <c r="K28" s="73"/>
      <c r="L28" s="15"/>
      <c r="M28" s="42"/>
    </row>
    <row r="29" spans="1:19" ht="16.5" customHeight="1">
      <c r="A29" s="70"/>
      <c r="B29" s="76" t="s">
        <v>344</v>
      </c>
      <c r="C29" s="72">
        <v>104</v>
      </c>
      <c r="D29" s="72">
        <v>12</v>
      </c>
      <c r="E29" s="187"/>
      <c r="F29" s="187">
        <v>134</v>
      </c>
      <c r="G29" s="72">
        <f>D29+E29+F29</f>
        <v>146</v>
      </c>
      <c r="H29" s="72">
        <f>'Chi 2023'!C34</f>
        <v>11</v>
      </c>
      <c r="I29" s="73">
        <f>G29/C29</f>
        <v>1.4038461538461537</v>
      </c>
      <c r="J29" s="74">
        <f>G29/D29</f>
        <v>12.166666666666666</v>
      </c>
      <c r="K29" s="73">
        <f>H29/D29</f>
        <v>0.91666666666666663</v>
      </c>
      <c r="L29" s="15"/>
      <c r="M29" s="42"/>
    </row>
    <row r="30" spans="1:19" ht="34.5" customHeight="1">
      <c r="A30" s="70"/>
      <c r="B30" s="77" t="s">
        <v>347</v>
      </c>
      <c r="C30" s="72">
        <v>18</v>
      </c>
      <c r="D30" s="72">
        <v>12</v>
      </c>
      <c r="E30" s="187"/>
      <c r="F30" s="187"/>
      <c r="G30" s="72">
        <f>D30+E30+F30</f>
        <v>12</v>
      </c>
      <c r="H30" s="72">
        <f>'Chi 2023'!C35</f>
        <v>11</v>
      </c>
      <c r="I30" s="73">
        <f t="shared" ref="I30:I40" si="13">G30/C30</f>
        <v>0.66666666666666663</v>
      </c>
      <c r="J30" s="74">
        <f t="shared" ref="J30:J40" si="14">G30/D30</f>
        <v>1</v>
      </c>
      <c r="K30" s="73">
        <f t="shared" ref="K30:K40" si="15">H30/D30</f>
        <v>0.91666666666666663</v>
      </c>
      <c r="L30" s="15"/>
      <c r="M30" s="42"/>
    </row>
    <row r="31" spans="1:19" ht="17.25" customHeight="1">
      <c r="A31" s="70"/>
      <c r="B31" s="71" t="s">
        <v>41</v>
      </c>
      <c r="C31" s="72">
        <v>2205</v>
      </c>
      <c r="D31" s="72">
        <v>2000</v>
      </c>
      <c r="E31" s="187"/>
      <c r="F31" s="186"/>
      <c r="G31" s="72">
        <f>D31+E31+F31-126.2</f>
        <v>1873.8</v>
      </c>
      <c r="H31" s="72">
        <f>'Chi 2023'!C36</f>
        <v>1000</v>
      </c>
      <c r="I31" s="73">
        <f t="shared" si="13"/>
        <v>0.84979591836734691</v>
      </c>
      <c r="J31" s="74">
        <f t="shared" si="14"/>
        <v>0.93689999999999996</v>
      </c>
      <c r="K31" s="73">
        <f t="shared" si="15"/>
        <v>0.5</v>
      </c>
      <c r="L31" s="15"/>
      <c r="M31" s="42"/>
    </row>
    <row r="32" spans="1:19" s="11" customFormat="1" ht="15">
      <c r="A32" s="64">
        <v>4</v>
      </c>
      <c r="B32" s="65" t="s">
        <v>77</v>
      </c>
      <c r="C32" s="66">
        <v>817</v>
      </c>
      <c r="D32" s="66">
        <v>600</v>
      </c>
      <c r="E32" s="186">
        <v>349.4</v>
      </c>
      <c r="F32" s="186"/>
      <c r="G32" s="66">
        <f>D32+E32+F32</f>
        <v>949.4</v>
      </c>
      <c r="H32" s="66">
        <f>'Chi 2023'!C37</f>
        <v>600</v>
      </c>
      <c r="I32" s="67">
        <f t="shared" si="13"/>
        <v>1.1620563035495717</v>
      </c>
      <c r="J32" s="68">
        <f t="shared" si="14"/>
        <v>1.5823333333333334</v>
      </c>
      <c r="K32" s="67">
        <f t="shared" si="15"/>
        <v>1</v>
      </c>
      <c r="L32" s="30"/>
      <c r="M32" s="69"/>
      <c r="N32" s="69"/>
      <c r="O32" s="75"/>
      <c r="P32" s="69"/>
    </row>
    <row r="33" spans="1:16" s="11" customFormat="1" ht="15">
      <c r="A33" s="64">
        <v>5</v>
      </c>
      <c r="B33" s="65" t="s">
        <v>78</v>
      </c>
      <c r="C33" s="66">
        <v>4795</v>
      </c>
      <c r="D33" s="66">
        <v>200</v>
      </c>
      <c r="E33" s="186">
        <f>4.3+123.3+2211.4</f>
        <v>2339</v>
      </c>
      <c r="F33" s="186">
        <f>750+537</f>
        <v>1287</v>
      </c>
      <c r="G33" s="66">
        <f>D33+E33+F33</f>
        <v>3826</v>
      </c>
      <c r="H33" s="66">
        <f>'Chi 2023'!C38</f>
        <v>200</v>
      </c>
      <c r="I33" s="67">
        <f>G33/C33</f>
        <v>0.79791449426485928</v>
      </c>
      <c r="J33" s="68">
        <f>G33/D33</f>
        <v>19.13</v>
      </c>
      <c r="K33" s="67">
        <f t="shared" si="15"/>
        <v>1</v>
      </c>
      <c r="L33" s="30"/>
      <c r="M33" s="69"/>
      <c r="N33" s="69"/>
      <c r="O33" s="75"/>
      <c r="P33" s="69"/>
    </row>
    <row r="34" spans="1:16" s="11" customFormat="1" ht="18" customHeight="1">
      <c r="A34" s="64"/>
      <c r="B34" s="71" t="s">
        <v>342</v>
      </c>
      <c r="C34" s="66"/>
      <c r="D34" s="66"/>
      <c r="E34" s="186"/>
      <c r="F34" s="186"/>
      <c r="G34" s="66"/>
      <c r="H34" s="66"/>
      <c r="I34" s="73"/>
      <c r="J34" s="74"/>
      <c r="K34" s="73"/>
      <c r="L34" s="30"/>
      <c r="M34" s="69"/>
      <c r="N34" s="69"/>
      <c r="O34" s="75"/>
      <c r="P34" s="69"/>
    </row>
    <row r="35" spans="1:16" ht="51" customHeight="1">
      <c r="A35" s="70"/>
      <c r="B35" s="77" t="s">
        <v>348</v>
      </c>
      <c r="C35" s="72">
        <f>2712+638.85</f>
        <v>3350.85</v>
      </c>
      <c r="D35" s="72"/>
      <c r="E35" s="187">
        <f>4.3+123.3+2211.4</f>
        <v>2339</v>
      </c>
      <c r="F35" s="187">
        <f>750+537</f>
        <v>1287</v>
      </c>
      <c r="G35" s="72">
        <f>D35+E35+F35</f>
        <v>3626</v>
      </c>
      <c r="H35" s="72"/>
      <c r="I35" s="73">
        <f>G35/C35</f>
        <v>1.0821134935911785</v>
      </c>
      <c r="J35" s="74"/>
      <c r="K35" s="73"/>
      <c r="L35" s="15"/>
      <c r="M35" s="42"/>
    </row>
    <row r="36" spans="1:16" s="11" customFormat="1" ht="15">
      <c r="A36" s="64">
        <v>6</v>
      </c>
      <c r="B36" s="65" t="s">
        <v>79</v>
      </c>
      <c r="C36" s="66">
        <v>1341</v>
      </c>
      <c r="D36" s="66">
        <v>2883</v>
      </c>
      <c r="E36" s="186"/>
      <c r="F36" s="186">
        <v>675</v>
      </c>
      <c r="G36" s="66">
        <f>D36+E36+F36</f>
        <v>3558</v>
      </c>
      <c r="H36" s="66">
        <f>'Chi 2023'!C39</f>
        <v>3686</v>
      </c>
      <c r="I36" s="67">
        <f t="shared" si="13"/>
        <v>2.6532438478747205</v>
      </c>
      <c r="J36" s="68">
        <f t="shared" si="14"/>
        <v>1.2341311134235171</v>
      </c>
      <c r="K36" s="67">
        <f t="shared" si="15"/>
        <v>1.2785293097467916</v>
      </c>
      <c r="L36" s="30"/>
      <c r="M36" s="69"/>
      <c r="N36" s="69"/>
      <c r="O36" s="75"/>
      <c r="P36" s="69"/>
    </row>
    <row r="37" spans="1:16" s="11" customFormat="1" ht="15">
      <c r="A37" s="64">
        <v>7</v>
      </c>
      <c r="B37" s="78" t="s">
        <v>80</v>
      </c>
      <c r="C37" s="66">
        <v>5578</v>
      </c>
      <c r="D37" s="66">
        <v>2488</v>
      </c>
      <c r="E37" s="186"/>
      <c r="F37" s="186"/>
      <c r="G37" s="66">
        <f>D37+E37+F37+95</f>
        <v>2583</v>
      </c>
      <c r="H37" s="66">
        <f>'Chi 2023'!C40</f>
        <v>2889</v>
      </c>
      <c r="I37" s="67">
        <f t="shared" si="13"/>
        <v>0.46306920043026173</v>
      </c>
      <c r="J37" s="79">
        <f t="shared" si="14"/>
        <v>1.0381832797427653</v>
      </c>
      <c r="K37" s="67">
        <f t="shared" si="15"/>
        <v>1.1611736334405145</v>
      </c>
      <c r="L37" s="30"/>
      <c r="M37" s="69"/>
      <c r="N37" s="69"/>
      <c r="O37" s="75"/>
      <c r="P37" s="69"/>
    </row>
    <row r="38" spans="1:16" s="11" customFormat="1" ht="15">
      <c r="A38" s="64">
        <v>8</v>
      </c>
      <c r="B38" s="78" t="s">
        <v>81</v>
      </c>
      <c r="C38" s="66">
        <v>237</v>
      </c>
      <c r="D38" s="66">
        <v>891</v>
      </c>
      <c r="E38" s="186"/>
      <c r="F38" s="186"/>
      <c r="G38" s="66">
        <f>D38+E38+F38+23</f>
        <v>914</v>
      </c>
      <c r="H38" s="66">
        <f>'Chi 2023'!C41</f>
        <v>616</v>
      </c>
      <c r="I38" s="67">
        <f t="shared" si="13"/>
        <v>3.8565400843881856</v>
      </c>
      <c r="J38" s="68">
        <f t="shared" si="14"/>
        <v>1.0258136924803591</v>
      </c>
      <c r="K38" s="67">
        <f t="shared" si="15"/>
        <v>0.69135802469135799</v>
      </c>
      <c r="L38" s="30"/>
      <c r="M38" s="69"/>
      <c r="N38" s="69"/>
      <c r="O38" s="75"/>
      <c r="P38" s="69"/>
    </row>
    <row r="39" spans="1:16" s="11" customFormat="1" ht="15">
      <c r="A39" s="64">
        <v>9</v>
      </c>
      <c r="B39" s="65" t="s">
        <v>82</v>
      </c>
      <c r="C39" s="66">
        <v>2500</v>
      </c>
      <c r="D39" s="66">
        <v>2500</v>
      </c>
      <c r="E39" s="186">
        <f>723.4-30</f>
        <v>693.4</v>
      </c>
      <c r="F39" s="186">
        <v>280</v>
      </c>
      <c r="G39" s="66">
        <f>D39+E39+F39</f>
        <v>3473.4</v>
      </c>
      <c r="H39" s="66">
        <f>'Chi 2023'!C42</f>
        <v>4232</v>
      </c>
      <c r="I39" s="67">
        <f t="shared" si="13"/>
        <v>1.3893599999999999</v>
      </c>
      <c r="J39" s="68">
        <f t="shared" si="14"/>
        <v>1.3893599999999999</v>
      </c>
      <c r="K39" s="67">
        <f t="shared" si="15"/>
        <v>1.6928000000000001</v>
      </c>
      <c r="L39" s="30"/>
      <c r="M39" s="69"/>
      <c r="N39" s="69"/>
      <c r="O39" s="75"/>
      <c r="P39" s="69"/>
    </row>
    <row r="40" spans="1:16" s="11" customFormat="1" ht="15">
      <c r="A40" s="64">
        <v>10</v>
      </c>
      <c r="B40" s="78" t="s">
        <v>83</v>
      </c>
      <c r="C40" s="66">
        <v>107376</v>
      </c>
      <c r="D40" s="66">
        <v>62483</v>
      </c>
      <c r="E40" s="186">
        <f>806.7+34.4+31+SUM(E41:E49)+147.4</f>
        <v>2082.6</v>
      </c>
      <c r="F40" s="186">
        <f>SUM(F41:F49)+509+7737.8+2358.3+20+300</f>
        <v>18099.099999999999</v>
      </c>
      <c r="G40" s="66">
        <f>D40+E40+F40</f>
        <v>82664.7</v>
      </c>
      <c r="H40" s="66">
        <f>'Chi 2023'!C43</f>
        <v>54156</v>
      </c>
      <c r="I40" s="67">
        <f t="shared" si="13"/>
        <v>0.76986198033080011</v>
      </c>
      <c r="J40" s="68">
        <f t="shared" si="14"/>
        <v>1.3229950546548661</v>
      </c>
      <c r="K40" s="67">
        <f t="shared" si="15"/>
        <v>0.86673175103628186</v>
      </c>
      <c r="L40" s="30"/>
      <c r="M40" s="69"/>
      <c r="N40" s="69"/>
      <c r="O40" s="75"/>
      <c r="P40" s="69"/>
    </row>
    <row r="41" spans="1:16" ht="18" customHeight="1">
      <c r="A41" s="70"/>
      <c r="B41" s="76" t="s">
        <v>342</v>
      </c>
      <c r="C41" s="72"/>
      <c r="D41" s="72"/>
      <c r="E41" s="187"/>
      <c r="F41" s="187"/>
      <c r="G41" s="72"/>
      <c r="H41" s="72"/>
      <c r="I41" s="73"/>
      <c r="J41" s="74"/>
      <c r="K41" s="73"/>
      <c r="L41" s="15"/>
      <c r="M41" s="42"/>
    </row>
    <row r="42" spans="1:16" ht="18" customHeight="1">
      <c r="A42" s="70"/>
      <c r="B42" s="76" t="s">
        <v>349</v>
      </c>
      <c r="C42" s="72">
        <v>2169</v>
      </c>
      <c r="D42" s="72">
        <v>3000</v>
      </c>
      <c r="E42" s="187"/>
      <c r="F42" s="187"/>
      <c r="G42" s="72">
        <f>D42+E42+F42</f>
        <v>3000</v>
      </c>
      <c r="H42" s="72">
        <f>'Chi 2023'!C45</f>
        <v>3500</v>
      </c>
      <c r="I42" s="73">
        <f>G42/C42</f>
        <v>1.3831258644536653</v>
      </c>
      <c r="J42" s="74">
        <f>G42/D42</f>
        <v>1</v>
      </c>
      <c r="K42" s="73">
        <f>H42/D42</f>
        <v>1.1666666666666667</v>
      </c>
      <c r="L42" s="15"/>
      <c r="M42" s="42"/>
    </row>
    <row r="43" spans="1:16" ht="18" customHeight="1">
      <c r="A43" s="70"/>
      <c r="B43" s="76" t="s">
        <v>350</v>
      </c>
      <c r="C43" s="72">
        <v>5309</v>
      </c>
      <c r="D43" s="72">
        <v>5074</v>
      </c>
      <c r="E43" s="187">
        <v>36.1</v>
      </c>
      <c r="F43" s="187"/>
      <c r="G43" s="72">
        <f t="shared" ref="G43:G48" si="16">D43+E43+F43</f>
        <v>5110.1000000000004</v>
      </c>
      <c r="H43" s="72">
        <f>'Chi 2023'!C46</f>
        <v>5074</v>
      </c>
      <c r="I43" s="73">
        <f>G43/C43</f>
        <v>0.96253531738557174</v>
      </c>
      <c r="J43" s="74">
        <f>G43/D43</f>
        <v>1.0071147024044147</v>
      </c>
      <c r="K43" s="73">
        <f>H43/D43</f>
        <v>1</v>
      </c>
      <c r="L43" s="15"/>
      <c r="M43" s="42"/>
    </row>
    <row r="44" spans="1:16" ht="18" customHeight="1">
      <c r="A44" s="70"/>
      <c r="B44" s="76" t="s">
        <v>351</v>
      </c>
      <c r="C44" s="72">
        <v>3218</v>
      </c>
      <c r="D44" s="72">
        <v>3203</v>
      </c>
      <c r="E44" s="187">
        <v>62.6</v>
      </c>
      <c r="F44" s="187">
        <v>24</v>
      </c>
      <c r="G44" s="72">
        <f t="shared" si="16"/>
        <v>3289.6</v>
      </c>
      <c r="H44" s="72">
        <f>'Chi 2023'!C49</f>
        <v>2796</v>
      </c>
      <c r="I44" s="73">
        <f>G44/C44</f>
        <v>1.02224984462399</v>
      </c>
      <c r="J44" s="74">
        <f t="shared" ref="J44:J51" si="17">G44/D44</f>
        <v>1.0270371526693725</v>
      </c>
      <c r="K44" s="73">
        <f>H44/D44</f>
        <v>0.8729316266000624</v>
      </c>
      <c r="L44" s="15"/>
      <c r="M44" s="42"/>
    </row>
    <row r="45" spans="1:16" ht="33.75" customHeight="1">
      <c r="A45" s="70"/>
      <c r="B45" s="80" t="s">
        <v>352</v>
      </c>
      <c r="C45" s="81">
        <v>1495</v>
      </c>
      <c r="D45" s="72">
        <v>2100</v>
      </c>
      <c r="E45" s="187">
        <f>433.9+530.5</f>
        <v>964.4</v>
      </c>
      <c r="F45" s="187"/>
      <c r="G45" s="72">
        <f t="shared" si="16"/>
        <v>3064.4</v>
      </c>
      <c r="H45" s="72">
        <f>'Chi 2023'!C52</f>
        <v>1800</v>
      </c>
      <c r="I45" s="73">
        <f t="shared" ref="I45:I50" si="18">G45/C45</f>
        <v>2.0497658862876253</v>
      </c>
      <c r="J45" s="74">
        <f t="shared" si="17"/>
        <v>1.4592380952380952</v>
      </c>
      <c r="K45" s="73">
        <f t="shared" ref="K45:K51" si="19">H45/D45</f>
        <v>0.8571428571428571</v>
      </c>
      <c r="L45" s="15"/>
      <c r="M45" s="42"/>
    </row>
    <row r="46" spans="1:16" ht="33.75" customHeight="1">
      <c r="A46" s="70"/>
      <c r="B46" s="80" t="s">
        <v>353</v>
      </c>
      <c r="C46" s="82">
        <v>1960</v>
      </c>
      <c r="D46" s="83"/>
      <c r="E46" s="188"/>
      <c r="F46" s="187">
        <f>2000+3000</f>
        <v>5000</v>
      </c>
      <c r="G46" s="72">
        <f t="shared" si="16"/>
        <v>5000</v>
      </c>
      <c r="H46" s="72"/>
      <c r="I46" s="73">
        <f t="shared" si="18"/>
        <v>2.5510204081632653</v>
      </c>
      <c r="J46" s="74"/>
      <c r="K46" s="73"/>
      <c r="L46" s="15"/>
      <c r="M46" s="42"/>
    </row>
    <row r="47" spans="1:16" ht="33.75" customHeight="1">
      <c r="A47" s="70"/>
      <c r="B47" s="80" t="s">
        <v>354</v>
      </c>
      <c r="C47" s="82"/>
      <c r="D47" s="83"/>
      <c r="E47" s="188"/>
      <c r="F47" s="187">
        <v>2150</v>
      </c>
      <c r="G47" s="72">
        <f t="shared" si="16"/>
        <v>2150</v>
      </c>
      <c r="H47" s="72"/>
      <c r="I47" s="73"/>
      <c r="J47" s="74"/>
      <c r="K47" s="73"/>
      <c r="L47" s="15"/>
      <c r="M47" s="42"/>
    </row>
    <row r="48" spans="1:16" ht="19.5" customHeight="1">
      <c r="A48" s="70"/>
      <c r="B48" s="71" t="s">
        <v>123</v>
      </c>
      <c r="C48" s="83">
        <v>100</v>
      </c>
      <c r="D48" s="83">
        <v>100</v>
      </c>
      <c r="E48" s="188"/>
      <c r="F48" s="187"/>
      <c r="G48" s="72">
        <f t="shared" si="16"/>
        <v>100</v>
      </c>
      <c r="H48" s="72">
        <f>'Chi 2023'!C54</f>
        <v>100</v>
      </c>
      <c r="I48" s="73">
        <f>G48/C48</f>
        <v>1</v>
      </c>
      <c r="J48" s="74">
        <f t="shared" ref="J48:J49" si="20">G48/D48</f>
        <v>1</v>
      </c>
      <c r="K48" s="73">
        <f t="shared" ref="K48:K49" si="21">H48/D48</f>
        <v>1</v>
      </c>
      <c r="L48" s="15"/>
      <c r="M48" s="42"/>
    </row>
    <row r="49" spans="1:16" ht="35.25" customHeight="1">
      <c r="A49" s="70"/>
      <c r="B49" s="80" t="s">
        <v>355</v>
      </c>
      <c r="C49" s="83">
        <v>300</v>
      </c>
      <c r="D49" s="83">
        <v>400</v>
      </c>
      <c r="E49" s="188"/>
      <c r="F49" s="187"/>
      <c r="G49" s="72">
        <f>D49+E49+F49</f>
        <v>400</v>
      </c>
      <c r="H49" s="72">
        <f>'Chi 2023'!C55</f>
        <v>600</v>
      </c>
      <c r="I49" s="73">
        <f>G49/C49</f>
        <v>1.3333333333333333</v>
      </c>
      <c r="J49" s="74">
        <f t="shared" si="20"/>
        <v>1</v>
      </c>
      <c r="K49" s="73">
        <f t="shared" si="21"/>
        <v>1.5</v>
      </c>
      <c r="L49" s="15"/>
      <c r="M49" s="42"/>
    </row>
    <row r="50" spans="1:16" s="11" customFormat="1" ht="18.75" customHeight="1">
      <c r="A50" s="64">
        <v>11</v>
      </c>
      <c r="B50" s="65" t="s">
        <v>356</v>
      </c>
      <c r="C50" s="66">
        <v>115301</v>
      </c>
      <c r="D50" s="66">
        <v>109185</v>
      </c>
      <c r="E50" s="186">
        <f>25.2+13.6+64.4+76+20.1+20.3+60+20+15+552.5+63.1</f>
        <v>930.2</v>
      </c>
      <c r="F50" s="186">
        <f>1100+278+128.5</f>
        <v>1506.5</v>
      </c>
      <c r="G50" s="66">
        <f>D50+E50+F50</f>
        <v>111621.7</v>
      </c>
      <c r="H50" s="66">
        <f>'Chi 2023'!C56</f>
        <v>111892</v>
      </c>
      <c r="I50" s="67">
        <f t="shared" si="18"/>
        <v>0.96808960893660934</v>
      </c>
      <c r="J50" s="68">
        <f t="shared" si="17"/>
        <v>1.0223171681091725</v>
      </c>
      <c r="K50" s="67">
        <f t="shared" si="19"/>
        <v>1.0247927828914227</v>
      </c>
      <c r="L50" s="30"/>
      <c r="M50" s="69"/>
      <c r="N50" s="69"/>
      <c r="O50" s="75"/>
      <c r="P50" s="69"/>
    </row>
    <row r="51" spans="1:16" s="11" customFormat="1" ht="18.75" customHeight="1">
      <c r="A51" s="64">
        <v>12</v>
      </c>
      <c r="B51" s="65" t="s">
        <v>94</v>
      </c>
      <c r="C51" s="66">
        <v>37990</v>
      </c>
      <c r="D51" s="66">
        <v>43133</v>
      </c>
      <c r="E51" s="186">
        <f>612.6+E54+E55</f>
        <v>660.1</v>
      </c>
      <c r="F51" s="186">
        <f>SUM(F53:F55)+147.8+83.3+798</f>
        <v>4856.1000000000004</v>
      </c>
      <c r="G51" s="66">
        <f>D51+E51+F51</f>
        <v>48649.2</v>
      </c>
      <c r="H51" s="66">
        <f>'Chi 2023'!C75</f>
        <v>47284</v>
      </c>
      <c r="I51" s="67">
        <f>G51/C51</f>
        <v>1.2805790997630955</v>
      </c>
      <c r="J51" s="68">
        <f t="shared" si="17"/>
        <v>1.1278881598775878</v>
      </c>
      <c r="K51" s="67">
        <f t="shared" si="19"/>
        <v>1.0962372197621311</v>
      </c>
      <c r="L51" s="69"/>
      <c r="M51" s="69"/>
      <c r="N51" s="69"/>
      <c r="O51" s="75"/>
      <c r="P51" s="69"/>
    </row>
    <row r="52" spans="1:16" s="11" customFormat="1">
      <c r="A52" s="64"/>
      <c r="B52" s="71" t="s">
        <v>357</v>
      </c>
      <c r="C52" s="66"/>
      <c r="D52" s="66"/>
      <c r="E52" s="186"/>
      <c r="F52" s="186"/>
      <c r="G52" s="66"/>
      <c r="H52" s="66"/>
      <c r="I52" s="73"/>
      <c r="J52" s="74"/>
      <c r="K52" s="73"/>
      <c r="L52" s="69"/>
      <c r="M52" s="69"/>
      <c r="N52" s="69"/>
      <c r="O52" s="75"/>
      <c r="P52" s="69"/>
    </row>
    <row r="53" spans="1:16">
      <c r="A53" s="70"/>
      <c r="B53" s="71" t="s">
        <v>358</v>
      </c>
      <c r="C53" s="72">
        <v>19269</v>
      </c>
      <c r="D53" s="72">
        <v>33670</v>
      </c>
      <c r="E53" s="186"/>
      <c r="F53" s="187">
        <v>2050</v>
      </c>
      <c r="G53" s="72">
        <f>D53+E53+F53</f>
        <v>35720</v>
      </c>
      <c r="H53" s="72">
        <f>'Chi 2023'!C76</f>
        <v>35720</v>
      </c>
      <c r="I53" s="73">
        <f>G53/C53</f>
        <v>1.8537547355856556</v>
      </c>
      <c r="J53" s="74">
        <f t="shared" ref="J53:J55" si="22">G53/D53</f>
        <v>1.0608850608850608</v>
      </c>
      <c r="K53" s="73">
        <f>H53/D53</f>
        <v>1.0608850608850608</v>
      </c>
      <c r="L53" s="15"/>
      <c r="M53" s="42"/>
    </row>
    <row r="54" spans="1:16">
      <c r="A54" s="70"/>
      <c r="B54" s="71" t="s">
        <v>42</v>
      </c>
      <c r="C54" s="72">
        <v>5968</v>
      </c>
      <c r="D54" s="72">
        <v>4884</v>
      </c>
      <c r="E54" s="187">
        <v>7.6</v>
      </c>
      <c r="F54" s="187">
        <v>1777</v>
      </c>
      <c r="G54" s="72">
        <f>D54+E54+F54</f>
        <v>6668.6</v>
      </c>
      <c r="H54" s="72">
        <f>'Chi 2023'!C77</f>
        <v>6498</v>
      </c>
      <c r="I54" s="73">
        <f>G54/C54</f>
        <v>1.1173927613941019</v>
      </c>
      <c r="J54" s="74">
        <f t="shared" si="22"/>
        <v>1.3653972153972154</v>
      </c>
      <c r="K54" s="73">
        <f>H54/D54</f>
        <v>1.3304668304668306</v>
      </c>
      <c r="L54" s="15"/>
      <c r="M54" s="42"/>
    </row>
    <row r="55" spans="1:16">
      <c r="A55" s="70"/>
      <c r="B55" s="71" t="s">
        <v>359</v>
      </c>
      <c r="C55" s="72">
        <v>99</v>
      </c>
      <c r="D55" s="72">
        <v>80</v>
      </c>
      <c r="E55" s="187">
        <v>39.9</v>
      </c>
      <c r="F55" s="187"/>
      <c r="G55" s="72">
        <f>D55+E55+F55</f>
        <v>119.9</v>
      </c>
      <c r="H55" s="72">
        <f>'Chi 2023'!C78</f>
        <v>127</v>
      </c>
      <c r="I55" s="73">
        <f>G55/C55</f>
        <v>1.2111111111111112</v>
      </c>
      <c r="J55" s="74">
        <f t="shared" si="22"/>
        <v>1.49875</v>
      </c>
      <c r="K55" s="73"/>
      <c r="L55" s="15"/>
      <c r="M55" s="42"/>
    </row>
    <row r="56" spans="1:16" s="11" customFormat="1" ht="18" customHeight="1">
      <c r="A56" s="64">
        <v>13</v>
      </c>
      <c r="B56" s="38" t="s">
        <v>26</v>
      </c>
      <c r="C56" s="66">
        <v>347</v>
      </c>
      <c r="D56" s="66">
        <v>10876</v>
      </c>
      <c r="E56" s="186">
        <f>E59+803</f>
        <v>5228.8</v>
      </c>
      <c r="F56" s="186"/>
      <c r="G56" s="66">
        <v>100</v>
      </c>
      <c r="H56" s="66">
        <f>'Chi 2023'!C81</f>
        <v>20803</v>
      </c>
      <c r="I56" s="67">
        <f>G56/C56</f>
        <v>0.28818443804034583</v>
      </c>
      <c r="J56" s="68">
        <f>G56/D56</f>
        <v>9.1945568223611614E-3</v>
      </c>
      <c r="K56" s="67">
        <f>H56/D56</f>
        <v>1.9127436557557926</v>
      </c>
      <c r="L56" s="30"/>
      <c r="M56" s="69"/>
      <c r="N56" s="69"/>
      <c r="O56" s="75"/>
      <c r="P56" s="168">
        <f>D56-D58</f>
        <v>1432</v>
      </c>
    </row>
    <row r="57" spans="1:16" ht="18" customHeight="1">
      <c r="A57" s="70"/>
      <c r="B57" s="71" t="s">
        <v>357</v>
      </c>
      <c r="C57" s="72"/>
      <c r="D57" s="72"/>
      <c r="E57" s="187"/>
      <c r="F57" s="187"/>
      <c r="G57" s="66"/>
      <c r="H57" s="72"/>
      <c r="I57" s="73"/>
      <c r="J57" s="74"/>
      <c r="K57" s="73"/>
      <c r="L57" s="15"/>
      <c r="M57" s="42"/>
      <c r="P57" s="167"/>
    </row>
    <row r="58" spans="1:16" ht="18" customHeight="1">
      <c r="A58" s="70"/>
      <c r="B58" s="71" t="s">
        <v>360</v>
      </c>
      <c r="C58" s="72"/>
      <c r="D58" s="72">
        <v>9444</v>
      </c>
      <c r="E58" s="187"/>
      <c r="F58" s="187"/>
      <c r="G58" s="72"/>
      <c r="H58" s="72">
        <f>'Chi 2023'!C82</f>
        <v>9944</v>
      </c>
      <c r="I58" s="73"/>
      <c r="J58" s="74"/>
      <c r="K58" s="73"/>
      <c r="L58" s="15"/>
      <c r="M58" s="42"/>
    </row>
    <row r="59" spans="1:16" ht="36.75" hidden="1" customHeight="1">
      <c r="A59" s="70"/>
      <c r="B59" s="80" t="s">
        <v>361</v>
      </c>
      <c r="C59" s="72"/>
      <c r="D59" s="72"/>
      <c r="E59" s="187">
        <f>4211.5+214.3</f>
        <v>4425.8</v>
      </c>
      <c r="F59" s="187"/>
      <c r="G59" s="72"/>
      <c r="H59" s="72"/>
      <c r="I59" s="73"/>
      <c r="J59" s="74"/>
      <c r="K59" s="73"/>
      <c r="L59" s="15"/>
      <c r="M59" s="42"/>
    </row>
    <row r="60" spans="1:16" s="11" customFormat="1" ht="18.75" customHeight="1">
      <c r="A60" s="64" t="s">
        <v>95</v>
      </c>
      <c r="B60" s="65" t="s">
        <v>14</v>
      </c>
      <c r="C60" s="66"/>
      <c r="D60" s="66">
        <v>14233</v>
      </c>
      <c r="E60" s="186"/>
      <c r="F60" s="186">
        <v>1331.8</v>
      </c>
      <c r="G60" s="72"/>
      <c r="H60" s="66">
        <f>'Chi 2023'!C84</f>
        <v>14694</v>
      </c>
      <c r="I60" s="84"/>
      <c r="J60" s="85"/>
      <c r="K60" s="84"/>
      <c r="L60" s="30"/>
      <c r="M60" s="69"/>
      <c r="N60" s="69"/>
      <c r="O60" s="75"/>
      <c r="P60" s="69"/>
    </row>
    <row r="61" spans="1:16" s="58" customFormat="1" ht="18.75" customHeight="1">
      <c r="A61" s="59" t="s">
        <v>2</v>
      </c>
      <c r="B61" s="86" t="s">
        <v>362</v>
      </c>
      <c r="C61" s="54">
        <f>C62+C69+C76</f>
        <v>4445</v>
      </c>
      <c r="D61" s="54">
        <f t="shared" ref="D61:H61" si="23">D62+D69+D76</f>
        <v>0</v>
      </c>
      <c r="E61" s="54">
        <f t="shared" si="23"/>
        <v>1249.4000000000001</v>
      </c>
      <c r="F61" s="54">
        <f t="shared" si="23"/>
        <v>62957.646999999997</v>
      </c>
      <c r="G61" s="54">
        <f t="shared" si="23"/>
        <v>47960.5</v>
      </c>
      <c r="H61" s="54">
        <f t="shared" si="23"/>
        <v>0</v>
      </c>
      <c r="I61" s="61">
        <f>G61/C61</f>
        <v>10.78976377952756</v>
      </c>
      <c r="J61" s="74"/>
      <c r="K61" s="73"/>
      <c r="L61" s="57"/>
      <c r="M61" s="63"/>
      <c r="N61" s="63"/>
      <c r="O61" s="87"/>
      <c r="P61" s="63"/>
    </row>
    <row r="62" spans="1:16" s="11" customFormat="1" ht="18.75" customHeight="1">
      <c r="A62" s="64" t="s">
        <v>3</v>
      </c>
      <c r="B62" s="65" t="s">
        <v>363</v>
      </c>
      <c r="C62" s="66">
        <f>+C63+C66</f>
        <v>2301</v>
      </c>
      <c r="D62" s="66">
        <f t="shared" ref="D62:H62" si="24">+D63+D66</f>
        <v>0</v>
      </c>
      <c r="E62" s="186">
        <f t="shared" si="24"/>
        <v>523.9</v>
      </c>
      <c r="F62" s="186">
        <f t="shared" si="24"/>
        <v>13065</v>
      </c>
      <c r="G62" s="66">
        <f>+G63+G66</f>
        <v>12111</v>
      </c>
      <c r="H62" s="66">
        <f t="shared" si="24"/>
        <v>0</v>
      </c>
      <c r="I62" s="67">
        <f>G62/C62</f>
        <v>5.2633637548891787</v>
      </c>
      <c r="J62" s="74"/>
      <c r="K62" s="73"/>
      <c r="L62" s="30"/>
      <c r="M62" s="69"/>
      <c r="N62" s="69"/>
      <c r="O62" s="75"/>
      <c r="P62" s="69"/>
    </row>
    <row r="63" spans="1:16" s="11" customFormat="1" ht="18.75" customHeight="1">
      <c r="A63" s="64">
        <v>1</v>
      </c>
      <c r="B63" s="65" t="s">
        <v>364</v>
      </c>
      <c r="C63" s="66">
        <f>+C64+C65</f>
        <v>2301</v>
      </c>
      <c r="D63" s="66">
        <f>+D64+D65</f>
        <v>0</v>
      </c>
      <c r="E63" s="186">
        <f>+E64+E65</f>
        <v>523.9</v>
      </c>
      <c r="F63" s="186">
        <f>+F64+F65</f>
        <v>12684</v>
      </c>
      <c r="G63" s="66">
        <f>+G64+G65</f>
        <v>11751</v>
      </c>
      <c r="H63" s="66">
        <f t="shared" ref="H63" si="25">+H64+H65</f>
        <v>0</v>
      </c>
      <c r="I63" s="67">
        <f t="shared" ref="I63:I64" si="26">G63/C63</f>
        <v>5.106910039113429</v>
      </c>
      <c r="J63" s="74"/>
      <c r="K63" s="73"/>
      <c r="L63" s="30"/>
      <c r="M63" s="69"/>
      <c r="N63" s="69"/>
      <c r="O63" s="75"/>
      <c r="P63" s="69"/>
    </row>
    <row r="64" spans="1:16" ht="18.75" customHeight="1">
      <c r="A64" s="70"/>
      <c r="B64" s="39" t="s">
        <v>365</v>
      </c>
      <c r="C64" s="72">
        <v>2301</v>
      </c>
      <c r="D64" s="72"/>
      <c r="E64" s="187">
        <f>289.1+139.9+94.9</f>
        <v>523.9</v>
      </c>
      <c r="F64" s="187"/>
      <c r="G64" s="72">
        <f>289+140+95</f>
        <v>524</v>
      </c>
      <c r="H64" s="72"/>
      <c r="I64" s="73">
        <f t="shared" si="26"/>
        <v>0.22772707518470231</v>
      </c>
      <c r="J64" s="74"/>
      <c r="K64" s="73"/>
      <c r="L64" s="15"/>
      <c r="M64" s="42"/>
      <c r="O64" s="8" t="s">
        <v>366</v>
      </c>
    </row>
    <row r="65" spans="1:19" ht="18.75" customHeight="1">
      <c r="A65" s="70"/>
      <c r="B65" s="71" t="s">
        <v>367</v>
      </c>
      <c r="C65" s="72"/>
      <c r="D65" s="72"/>
      <c r="E65" s="187"/>
      <c r="F65" s="187">
        <v>12684</v>
      </c>
      <c r="G65" s="72">
        <v>11227</v>
      </c>
      <c r="H65" s="72"/>
      <c r="I65" s="73"/>
      <c r="J65" s="74"/>
      <c r="K65" s="73"/>
      <c r="L65" s="15"/>
      <c r="M65" s="42"/>
    </row>
    <row r="66" spans="1:19" s="11" customFormat="1" ht="18.75" customHeight="1">
      <c r="A66" s="64">
        <v>2</v>
      </c>
      <c r="B66" s="65" t="s">
        <v>368</v>
      </c>
      <c r="C66" s="66">
        <f>+C67+C68</f>
        <v>0</v>
      </c>
      <c r="D66" s="66">
        <f t="shared" ref="D66:H66" si="27">+D67+D68</f>
        <v>0</v>
      </c>
      <c r="E66" s="186">
        <f t="shared" si="27"/>
        <v>0</v>
      </c>
      <c r="F66" s="186">
        <f>+F67+F68</f>
        <v>381</v>
      </c>
      <c r="G66" s="66">
        <f>+G67+G68</f>
        <v>360</v>
      </c>
      <c r="H66" s="66">
        <f t="shared" si="27"/>
        <v>0</v>
      </c>
      <c r="I66" s="73"/>
      <c r="J66" s="74"/>
      <c r="K66" s="73"/>
      <c r="L66" s="30"/>
      <c r="M66" s="69"/>
      <c r="N66" s="69"/>
      <c r="O66" s="75"/>
      <c r="P66" s="69"/>
    </row>
    <row r="67" spans="1:19" ht="18.75" customHeight="1">
      <c r="A67" s="70"/>
      <c r="B67" s="71" t="s">
        <v>365</v>
      </c>
      <c r="C67" s="72"/>
      <c r="D67" s="72"/>
      <c r="E67" s="187"/>
      <c r="F67" s="187"/>
      <c r="G67" s="72"/>
      <c r="H67" s="72"/>
      <c r="I67" s="73"/>
      <c r="J67" s="74"/>
      <c r="K67" s="73"/>
      <c r="L67" s="15"/>
      <c r="M67" s="42"/>
    </row>
    <row r="68" spans="1:19" ht="18.75" customHeight="1">
      <c r="A68" s="70"/>
      <c r="B68" s="71" t="s">
        <v>367</v>
      </c>
      <c r="C68" s="72"/>
      <c r="D68" s="72"/>
      <c r="E68" s="187"/>
      <c r="F68" s="187">
        <v>381</v>
      </c>
      <c r="G68" s="72">
        <v>360</v>
      </c>
      <c r="H68" s="72"/>
      <c r="I68" s="73"/>
      <c r="J68" s="74"/>
      <c r="K68" s="73"/>
      <c r="L68" s="15"/>
      <c r="M68" s="42"/>
    </row>
    <row r="69" spans="1:19" s="11" customFormat="1" ht="18.75" customHeight="1">
      <c r="A69" s="64" t="s">
        <v>4</v>
      </c>
      <c r="B69" s="65" t="s">
        <v>369</v>
      </c>
      <c r="C69" s="66">
        <f>+C70+C73</f>
        <v>2144</v>
      </c>
      <c r="D69" s="66">
        <f t="shared" ref="D69:F69" si="28">+D70+D73</f>
        <v>0</v>
      </c>
      <c r="E69" s="186">
        <f t="shared" si="28"/>
        <v>725.5</v>
      </c>
      <c r="F69" s="186">
        <f t="shared" si="28"/>
        <v>28766.5</v>
      </c>
      <c r="G69" s="66">
        <f>+G70+G73</f>
        <v>23915.5</v>
      </c>
      <c r="H69" s="66">
        <f t="shared" ref="H69" si="29">+H70+H73</f>
        <v>0</v>
      </c>
      <c r="I69" s="67">
        <f>G69/C69</f>
        <v>11.154617537313433</v>
      </c>
      <c r="J69" s="74"/>
      <c r="K69" s="73"/>
      <c r="L69" s="30"/>
      <c r="M69" s="69"/>
      <c r="N69" s="69"/>
      <c r="O69" s="75"/>
      <c r="P69" s="69"/>
    </row>
    <row r="70" spans="1:19" s="11" customFormat="1" ht="18.75" customHeight="1">
      <c r="A70" s="64">
        <v>1</v>
      </c>
      <c r="B70" s="65" t="s">
        <v>364</v>
      </c>
      <c r="C70" s="66">
        <f>+C71+C72</f>
        <v>2144</v>
      </c>
      <c r="D70" s="66">
        <f t="shared" ref="D70:E70" si="30">+D71+D72</f>
        <v>0</v>
      </c>
      <c r="E70" s="186">
        <f t="shared" si="30"/>
        <v>725.5</v>
      </c>
      <c r="F70" s="186">
        <f>+F71+F72</f>
        <v>28746</v>
      </c>
      <c r="G70" s="66">
        <f>+G71+G72</f>
        <v>23895</v>
      </c>
      <c r="H70" s="66">
        <f>+H71+H72</f>
        <v>0</v>
      </c>
      <c r="I70" s="67">
        <f>G70/C70</f>
        <v>11.145055970149254</v>
      </c>
      <c r="J70" s="74"/>
      <c r="K70" s="73"/>
      <c r="L70" s="30"/>
      <c r="M70" s="69"/>
      <c r="N70" s="69"/>
      <c r="O70" s="75"/>
      <c r="P70" s="69"/>
    </row>
    <row r="71" spans="1:19" ht="18.75" customHeight="1">
      <c r="A71" s="70"/>
      <c r="B71" s="39" t="s">
        <v>365</v>
      </c>
      <c r="C71" s="72">
        <v>2035</v>
      </c>
      <c r="D71" s="72"/>
      <c r="E71" s="187">
        <v>724.5</v>
      </c>
      <c r="F71" s="187">
        <f>6146+22190</f>
        <v>28336</v>
      </c>
      <c r="G71" s="72">
        <f>22761+724</f>
        <v>23485</v>
      </c>
      <c r="H71" s="72"/>
      <c r="I71" s="73">
        <f>G71/C71</f>
        <v>11.54054054054054</v>
      </c>
      <c r="J71" s="74"/>
      <c r="K71" s="73"/>
      <c r="L71" s="15"/>
      <c r="M71" s="42"/>
      <c r="O71" s="8" t="s">
        <v>337</v>
      </c>
    </row>
    <row r="72" spans="1:19" ht="18.75" customHeight="1">
      <c r="A72" s="70"/>
      <c r="B72" s="71" t="s">
        <v>367</v>
      </c>
      <c r="C72" s="72">
        <v>109</v>
      </c>
      <c r="D72" s="72"/>
      <c r="E72" s="187">
        <v>1</v>
      </c>
      <c r="F72" s="187">
        <v>410</v>
      </c>
      <c r="G72" s="72">
        <v>410</v>
      </c>
      <c r="H72" s="72"/>
      <c r="I72" s="73">
        <f>G72/C72</f>
        <v>3.761467889908257</v>
      </c>
      <c r="J72" s="74"/>
      <c r="K72" s="73"/>
      <c r="L72" s="15"/>
      <c r="M72" s="42"/>
    </row>
    <row r="73" spans="1:19" ht="18.75" customHeight="1">
      <c r="A73" s="64">
        <v>2</v>
      </c>
      <c r="B73" s="65" t="s">
        <v>368</v>
      </c>
      <c r="C73" s="66">
        <f>+C74+C75</f>
        <v>0</v>
      </c>
      <c r="D73" s="66">
        <f t="shared" ref="D73:H73" si="31">+D74+D75</f>
        <v>0</v>
      </c>
      <c r="E73" s="186">
        <f t="shared" si="31"/>
        <v>0</v>
      </c>
      <c r="F73" s="186">
        <f>+F74+F75</f>
        <v>20.5</v>
      </c>
      <c r="G73" s="66">
        <f>+G74+G75</f>
        <v>20.5</v>
      </c>
      <c r="H73" s="66">
        <f t="shared" si="31"/>
        <v>0</v>
      </c>
      <c r="I73" s="73"/>
      <c r="J73" s="74"/>
      <c r="K73" s="73"/>
      <c r="L73" s="15"/>
      <c r="M73" s="42"/>
    </row>
    <row r="74" spans="1:19" ht="18.75" customHeight="1">
      <c r="A74" s="70"/>
      <c r="B74" s="71" t="s">
        <v>365</v>
      </c>
      <c r="C74" s="88"/>
      <c r="D74" s="72"/>
      <c r="E74" s="187"/>
      <c r="F74" s="187"/>
      <c r="G74" s="72"/>
      <c r="H74" s="72"/>
      <c r="I74" s="73"/>
      <c r="J74" s="74"/>
      <c r="K74" s="73"/>
      <c r="L74" s="15"/>
      <c r="M74" s="42"/>
    </row>
    <row r="75" spans="1:19" ht="18.75" customHeight="1">
      <c r="A75" s="70"/>
      <c r="B75" s="71" t="s">
        <v>367</v>
      </c>
      <c r="C75" s="88"/>
      <c r="D75" s="72"/>
      <c r="E75" s="187"/>
      <c r="F75" s="187">
        <v>20.5</v>
      </c>
      <c r="G75" s="72">
        <v>20.5</v>
      </c>
      <c r="H75" s="72"/>
      <c r="I75" s="73"/>
      <c r="J75" s="74"/>
      <c r="K75" s="73"/>
      <c r="L75" s="15"/>
      <c r="M75" s="42"/>
      <c r="S75" s="15"/>
    </row>
    <row r="76" spans="1:19" s="11" customFormat="1" ht="36.75" customHeight="1">
      <c r="A76" s="64" t="s">
        <v>95</v>
      </c>
      <c r="B76" s="89" t="s">
        <v>370</v>
      </c>
      <c r="C76" s="66">
        <f>C77+C80</f>
        <v>0</v>
      </c>
      <c r="D76" s="66">
        <f t="shared" ref="D76:H76" si="32">D77+D80</f>
        <v>0</v>
      </c>
      <c r="E76" s="186">
        <f t="shared" si="32"/>
        <v>0</v>
      </c>
      <c r="F76" s="186">
        <f>F77+F80</f>
        <v>21126.147000000001</v>
      </c>
      <c r="G76" s="66">
        <f>G77+G80</f>
        <v>11934</v>
      </c>
      <c r="H76" s="66">
        <f t="shared" si="32"/>
        <v>0</v>
      </c>
      <c r="I76" s="73"/>
      <c r="J76" s="74"/>
      <c r="K76" s="73"/>
      <c r="L76" s="30"/>
      <c r="M76" s="69"/>
      <c r="N76" s="69"/>
      <c r="O76" s="75"/>
      <c r="P76" s="69"/>
    </row>
    <row r="77" spans="1:19" ht="18.75" customHeight="1">
      <c r="A77" s="64">
        <v>1</v>
      </c>
      <c r="B77" s="65" t="s">
        <v>364</v>
      </c>
      <c r="C77" s="66">
        <f>+C78+C79</f>
        <v>0</v>
      </c>
      <c r="D77" s="66">
        <f>+D78+D79</f>
        <v>0</v>
      </c>
      <c r="E77" s="186">
        <f t="shared" ref="E77:H77" si="33">+E78+E79</f>
        <v>0</v>
      </c>
      <c r="F77" s="186">
        <f>+F78+F79</f>
        <v>20224.147000000001</v>
      </c>
      <c r="G77" s="66">
        <f>+G78+G79</f>
        <v>11248</v>
      </c>
      <c r="H77" s="66">
        <f t="shared" si="33"/>
        <v>0</v>
      </c>
      <c r="I77" s="73"/>
      <c r="J77" s="74"/>
      <c r="K77" s="73"/>
      <c r="L77" s="15"/>
      <c r="M77" s="42"/>
    </row>
    <row r="78" spans="1:19" ht="18.75" customHeight="1">
      <c r="A78" s="70"/>
      <c r="B78" s="71" t="s">
        <v>365</v>
      </c>
      <c r="C78" s="88"/>
      <c r="D78" s="72"/>
      <c r="E78" s="187"/>
      <c r="F78" s="187">
        <f>1257.147-36</f>
        <v>1221.1469999999999</v>
      </c>
      <c r="G78" s="72">
        <v>1221</v>
      </c>
      <c r="H78" s="72"/>
      <c r="I78" s="73"/>
      <c r="J78" s="74"/>
      <c r="K78" s="73"/>
      <c r="L78" s="15"/>
      <c r="M78" s="42"/>
    </row>
    <row r="79" spans="1:19" ht="18.75" customHeight="1">
      <c r="A79" s="70"/>
      <c r="B79" s="71" t="s">
        <v>367</v>
      </c>
      <c r="C79" s="88"/>
      <c r="D79" s="72"/>
      <c r="E79" s="187"/>
      <c r="F79" s="187">
        <f>20116-2132+1019</f>
        <v>19003</v>
      </c>
      <c r="G79" s="72">
        <v>10027</v>
      </c>
      <c r="H79" s="72"/>
      <c r="I79" s="73"/>
      <c r="J79" s="74"/>
      <c r="K79" s="73"/>
      <c r="L79" s="15"/>
      <c r="M79" s="42"/>
    </row>
    <row r="80" spans="1:19" ht="18.75" customHeight="1">
      <c r="A80" s="64">
        <v>2</v>
      </c>
      <c r="B80" s="65" t="s">
        <v>368</v>
      </c>
      <c r="C80" s="66">
        <f>+C81+C82</f>
        <v>0</v>
      </c>
      <c r="D80" s="66">
        <f t="shared" ref="D80" si="34">+D81+D82</f>
        <v>0</v>
      </c>
      <c r="E80" s="186">
        <f>+E81+E82</f>
        <v>0</v>
      </c>
      <c r="F80" s="186">
        <f>+F81+F82</f>
        <v>902</v>
      </c>
      <c r="G80" s="66">
        <f>+G81+G82</f>
        <v>686</v>
      </c>
      <c r="H80" s="66">
        <f t="shared" ref="H80" si="35">+H81+H82</f>
        <v>0</v>
      </c>
      <c r="I80" s="73"/>
      <c r="J80" s="74"/>
      <c r="K80" s="73"/>
      <c r="L80" s="15"/>
      <c r="M80" s="42"/>
    </row>
    <row r="81" spans="1:16" ht="18.75" customHeight="1">
      <c r="A81" s="70"/>
      <c r="B81" s="71" t="s">
        <v>365</v>
      </c>
      <c r="C81" s="88"/>
      <c r="D81" s="72"/>
      <c r="E81" s="187"/>
      <c r="F81" s="187"/>
      <c r="G81" s="72"/>
      <c r="H81" s="72"/>
      <c r="I81" s="73"/>
      <c r="J81" s="74"/>
      <c r="K81" s="73"/>
      <c r="L81" s="15"/>
      <c r="M81" s="42"/>
    </row>
    <row r="82" spans="1:16" ht="18.75" customHeight="1">
      <c r="A82" s="70"/>
      <c r="B82" s="71" t="s">
        <v>367</v>
      </c>
      <c r="C82" s="88"/>
      <c r="D82" s="72"/>
      <c r="E82" s="187"/>
      <c r="F82" s="187">
        <f>1009-107</f>
        <v>902</v>
      </c>
      <c r="G82" s="72">
        <v>686</v>
      </c>
      <c r="H82" s="72"/>
      <c r="I82" s="73"/>
      <c r="J82" s="74"/>
      <c r="K82" s="73"/>
      <c r="L82" s="15"/>
      <c r="M82" s="42"/>
    </row>
    <row r="83" spans="1:16" s="58" customFormat="1" ht="17.25" customHeight="1">
      <c r="A83" s="59" t="s">
        <v>216</v>
      </c>
      <c r="B83" s="60" t="s">
        <v>371</v>
      </c>
      <c r="C83" s="54">
        <f t="shared" ref="C83:H83" si="36">C84+C86</f>
        <v>31719</v>
      </c>
      <c r="D83" s="54">
        <f t="shared" si="36"/>
        <v>144</v>
      </c>
      <c r="E83" s="185">
        <f>E84+E86</f>
        <v>119.69999999999999</v>
      </c>
      <c r="F83" s="185">
        <f t="shared" si="36"/>
        <v>0</v>
      </c>
      <c r="G83" s="54">
        <f t="shared" si="36"/>
        <v>247</v>
      </c>
      <c r="H83" s="54">
        <f t="shared" si="36"/>
        <v>28</v>
      </c>
      <c r="I83" s="61">
        <f>G83/C83</f>
        <v>7.7871307418266658E-3</v>
      </c>
      <c r="J83" s="68">
        <f t="shared" ref="J83" si="37">G83/D83</f>
        <v>1.7152777777777777</v>
      </c>
      <c r="K83" s="67"/>
      <c r="L83" s="57"/>
      <c r="M83" s="63"/>
      <c r="N83" s="63"/>
      <c r="O83" s="87"/>
      <c r="P83" s="63"/>
    </row>
    <row r="84" spans="1:16" ht="18.75" customHeight="1">
      <c r="A84" s="64" t="s">
        <v>3</v>
      </c>
      <c r="B84" s="65" t="s">
        <v>372</v>
      </c>
      <c r="C84" s="66">
        <f>C85</f>
        <v>29897</v>
      </c>
      <c r="D84" s="66">
        <f t="shared" ref="D84:H84" si="38">D85</f>
        <v>0</v>
      </c>
      <c r="E84" s="66">
        <f t="shared" si="38"/>
        <v>102.8</v>
      </c>
      <c r="F84" s="66">
        <f t="shared" si="38"/>
        <v>0</v>
      </c>
      <c r="G84" s="66">
        <f t="shared" si="38"/>
        <v>103</v>
      </c>
      <c r="H84" s="66">
        <f t="shared" si="38"/>
        <v>0</v>
      </c>
      <c r="I84" s="73"/>
      <c r="J84" s="74"/>
      <c r="K84" s="73"/>
      <c r="L84" s="15"/>
      <c r="M84" s="42"/>
    </row>
    <row r="85" spans="1:16" ht="18.75" customHeight="1">
      <c r="A85" s="70"/>
      <c r="B85" s="71" t="s">
        <v>373</v>
      </c>
      <c r="C85" s="88">
        <v>29897</v>
      </c>
      <c r="D85" s="72"/>
      <c r="E85" s="187">
        <v>102.8</v>
      </c>
      <c r="F85" s="187"/>
      <c r="G85" s="72">
        <v>103</v>
      </c>
      <c r="H85" s="72"/>
      <c r="I85" s="73"/>
      <c r="J85" s="74"/>
      <c r="K85" s="73"/>
      <c r="L85" s="15"/>
      <c r="M85" s="42"/>
      <c r="O85" s="8" t="s">
        <v>374</v>
      </c>
    </row>
    <row r="86" spans="1:16" ht="18.75" customHeight="1">
      <c r="A86" s="64" t="s">
        <v>4</v>
      </c>
      <c r="B86" s="65" t="s">
        <v>13</v>
      </c>
      <c r="C86" s="66">
        <f>+C87+C88</f>
        <v>1822</v>
      </c>
      <c r="D86" s="66">
        <f t="shared" ref="D86:H86" si="39">+D87+D88</f>
        <v>144</v>
      </c>
      <c r="E86" s="186">
        <f t="shared" si="39"/>
        <v>16.899999999999999</v>
      </c>
      <c r="F86" s="186">
        <f t="shared" si="39"/>
        <v>0</v>
      </c>
      <c r="G86" s="66">
        <f t="shared" si="39"/>
        <v>144</v>
      </c>
      <c r="H86" s="66">
        <f t="shared" si="39"/>
        <v>28</v>
      </c>
      <c r="I86" s="73">
        <f>G86/C86</f>
        <v>7.9034028540065859E-2</v>
      </c>
      <c r="J86" s="74">
        <f>G86/D86</f>
        <v>1</v>
      </c>
      <c r="K86" s="73"/>
      <c r="L86" s="15"/>
      <c r="M86" s="42"/>
    </row>
    <row r="87" spans="1:16" ht="18.75" customHeight="1">
      <c r="A87" s="70"/>
      <c r="B87" s="71" t="s">
        <v>375</v>
      </c>
      <c r="C87" s="88">
        <v>38</v>
      </c>
      <c r="D87" s="72">
        <v>144</v>
      </c>
      <c r="E87" s="187"/>
      <c r="F87" s="187"/>
      <c r="G87" s="72">
        <f>D87+E87+F87</f>
        <v>144</v>
      </c>
      <c r="H87" s="72">
        <v>28</v>
      </c>
      <c r="I87" s="73">
        <f>G87/C87</f>
        <v>3.7894736842105261</v>
      </c>
      <c r="J87" s="74">
        <f t="shared" ref="J87" si="40">G87/D87</f>
        <v>1</v>
      </c>
      <c r="K87" s="73"/>
      <c r="L87" s="15"/>
      <c r="M87" s="42"/>
    </row>
    <row r="88" spans="1:16" ht="18.75" customHeight="1">
      <c r="A88" s="70"/>
      <c r="B88" s="71" t="s">
        <v>376</v>
      </c>
      <c r="C88" s="88">
        <v>1784</v>
      </c>
      <c r="D88" s="72"/>
      <c r="E88" s="187">
        <v>16.899999999999999</v>
      </c>
      <c r="F88" s="187"/>
      <c r="G88" s="72"/>
      <c r="H88" s="72"/>
      <c r="I88" s="73"/>
      <c r="J88" s="74"/>
      <c r="K88" s="73"/>
      <c r="L88" s="15"/>
      <c r="M88" s="42"/>
    </row>
    <row r="89" spans="1:16" s="58" customFormat="1" ht="19.5" customHeight="1">
      <c r="A89" s="59" t="s">
        <v>217</v>
      </c>
      <c r="B89" s="60" t="s">
        <v>377</v>
      </c>
      <c r="C89" s="54">
        <v>18348</v>
      </c>
      <c r="D89" s="54">
        <f>D90+D91</f>
        <v>0</v>
      </c>
      <c r="E89" s="187"/>
      <c r="F89" s="185"/>
      <c r="G89" s="54">
        <f>667.7+229.6</f>
        <v>897.30000000000007</v>
      </c>
      <c r="H89" s="54">
        <f>H90+H91</f>
        <v>0</v>
      </c>
      <c r="I89" s="61">
        <f>G89/C89</f>
        <v>4.8904512753433618E-2</v>
      </c>
      <c r="J89" s="74"/>
      <c r="K89" s="61"/>
      <c r="L89" s="57"/>
      <c r="M89" s="63"/>
      <c r="N89" s="63"/>
      <c r="O89" s="87"/>
      <c r="P89" s="63"/>
    </row>
    <row r="90" spans="1:16" s="58" customFormat="1" ht="19.5" customHeight="1">
      <c r="A90" s="90" t="s">
        <v>25</v>
      </c>
      <c r="B90" s="91" t="s">
        <v>378</v>
      </c>
      <c r="C90" s="92">
        <v>40062</v>
      </c>
      <c r="D90" s="92"/>
      <c r="E90" s="189"/>
      <c r="F90" s="189"/>
      <c r="G90" s="92">
        <f>60605.5-10949</f>
        <v>49656.5</v>
      </c>
      <c r="H90" s="92"/>
      <c r="I90" s="93">
        <f>G90/C90</f>
        <v>1.2394912885028206</v>
      </c>
      <c r="J90" s="94"/>
      <c r="K90" s="93"/>
      <c r="L90" s="57"/>
      <c r="M90" s="63"/>
      <c r="N90" s="63"/>
      <c r="O90" s="87"/>
      <c r="P90" s="63"/>
    </row>
    <row r="91" spans="1:16" s="100" customFormat="1" ht="17.25" customHeight="1">
      <c r="A91" s="95"/>
      <c r="B91" s="96"/>
      <c r="C91" s="96"/>
      <c r="D91" s="97"/>
      <c r="E91" s="190"/>
      <c r="F91" s="191"/>
      <c r="G91" s="96"/>
      <c r="H91" s="97"/>
      <c r="I91" s="98"/>
      <c r="J91" s="99"/>
      <c r="K91" s="95"/>
      <c r="M91" s="101"/>
      <c r="N91" s="102"/>
      <c r="O91" s="103"/>
      <c r="P91" s="101"/>
    </row>
    <row r="92" spans="1:16" s="100" customFormat="1" ht="17.25" customHeight="1">
      <c r="B92" s="104"/>
      <c r="C92" s="104"/>
      <c r="D92" s="97"/>
      <c r="E92" s="192"/>
      <c r="F92" s="191"/>
      <c r="G92" s="105"/>
      <c r="H92" s="97"/>
      <c r="I92" s="98"/>
      <c r="J92" s="99"/>
      <c r="K92" s="95"/>
      <c r="M92" s="101"/>
      <c r="N92" s="102"/>
      <c r="O92" s="103"/>
      <c r="P92" s="101"/>
    </row>
    <row r="93" spans="1:16" s="96" customFormat="1" ht="28.5" customHeight="1">
      <c r="A93" s="95"/>
      <c r="B93" s="106"/>
      <c r="C93" s="107"/>
      <c r="D93" s="97"/>
      <c r="E93" s="193"/>
      <c r="F93" s="191"/>
      <c r="H93" s="194"/>
      <c r="I93" s="98"/>
      <c r="M93" s="108"/>
      <c r="N93" s="102"/>
      <c r="O93" s="109"/>
      <c r="P93" s="108"/>
    </row>
  </sheetData>
  <mergeCells count="15">
    <mergeCell ref="J1:K1"/>
    <mergeCell ref="A2:K2"/>
    <mergeCell ref="A3:K3"/>
    <mergeCell ref="A5:A7"/>
    <mergeCell ref="B5:B7"/>
    <mergeCell ref="C5:C7"/>
    <mergeCell ref="D5:D7"/>
    <mergeCell ref="E5:E7"/>
    <mergeCell ref="F5:F7"/>
    <mergeCell ref="G5:G7"/>
    <mergeCell ref="H5:H7"/>
    <mergeCell ref="I5:K5"/>
    <mergeCell ref="I6:I7"/>
    <mergeCell ref="J6:J7"/>
    <mergeCell ref="K6:K7"/>
  </mergeCells>
  <pageMargins left="0.43307086614173229" right="0.35433070866141736" top="0.59055118110236227" bottom="0.62992125984251968" header="0.31496062992125984" footer="0.31496062992125984"/>
  <pageSetup paperSize="9" scale="75" fitToHeight="0"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1:I43"/>
  <sheetViews>
    <sheetView zoomScaleNormal="100" workbookViewId="0">
      <selection activeCell="K17" sqref="K17"/>
    </sheetView>
  </sheetViews>
  <sheetFormatPr defaultColWidth="9.1796875" defaultRowHeight="18"/>
  <cols>
    <col min="1" max="1" width="9.54296875" style="9" customWidth="1"/>
    <col min="2" max="2" width="60.81640625" style="7" customWidth="1"/>
    <col min="3" max="3" width="23.54296875" style="7" customWidth="1"/>
    <col min="4" max="4" width="10.26953125" style="7" customWidth="1"/>
    <col min="5" max="5" width="10.26953125" style="7" hidden="1" customWidth="1"/>
    <col min="6" max="6" width="10.54296875" style="9" hidden="1" customWidth="1"/>
    <col min="7" max="9" width="9.1796875" style="9" hidden="1" customWidth="1"/>
    <col min="10" max="16384" width="9.1796875" style="7"/>
  </cols>
  <sheetData>
    <row r="1" spans="1:9">
      <c r="C1" s="10" t="s">
        <v>214</v>
      </c>
    </row>
    <row r="2" spans="1:9" ht="27" customHeight="1">
      <c r="A2" s="395" t="s">
        <v>266</v>
      </c>
      <c r="B2" s="395"/>
      <c r="C2" s="395"/>
    </row>
    <row r="3" spans="1:9" ht="18.75" customHeight="1">
      <c r="A3" s="396" t="str">
        <f>'Thu 2022'!A3:I3</f>
        <v>(Kèm theo Báo cáo số            /BC-UBND ngày       tháng 12 năm 2022 của UBND huyện Tuần Giáo)</v>
      </c>
      <c r="B3" s="396"/>
      <c r="C3" s="396"/>
    </row>
    <row r="4" spans="1:9" ht="25.5" customHeight="1">
      <c r="C4" s="32" t="s">
        <v>102</v>
      </c>
    </row>
    <row r="5" spans="1:9" s="8" customFormat="1" ht="22.5" customHeight="1">
      <c r="A5" s="26" t="s">
        <v>0</v>
      </c>
      <c r="B5" s="14" t="s">
        <v>97</v>
      </c>
      <c r="C5" s="14" t="s">
        <v>113</v>
      </c>
      <c r="F5" s="10"/>
      <c r="G5" s="10"/>
      <c r="H5" s="10"/>
      <c r="I5" s="10"/>
    </row>
    <row r="6" spans="1:9" s="10" customFormat="1" ht="16.5" customHeight="1">
      <c r="A6" s="27">
        <v>1</v>
      </c>
      <c r="B6" s="28">
        <v>2</v>
      </c>
      <c r="C6" s="28">
        <v>3</v>
      </c>
    </row>
    <row r="7" spans="1:9" s="11" customFormat="1" ht="19.5" customHeight="1">
      <c r="A7" s="31" t="s">
        <v>1</v>
      </c>
      <c r="B7" s="16" t="s">
        <v>103</v>
      </c>
      <c r="C7" s="17">
        <f>C8+C10+C14+C15+C16+C17+C22+C26+C27+C28+C31</f>
        <v>54000</v>
      </c>
      <c r="F7" s="21"/>
      <c r="G7" s="21"/>
      <c r="H7" s="21"/>
      <c r="I7" s="21"/>
    </row>
    <row r="8" spans="1:9" s="11" customFormat="1" ht="19.5" customHeight="1">
      <c r="A8" s="31">
        <v>1</v>
      </c>
      <c r="B8" s="16" t="s">
        <v>268</v>
      </c>
      <c r="C8" s="17">
        <f>C9</f>
        <v>1000</v>
      </c>
      <c r="F8" s="21"/>
      <c r="G8" s="21"/>
      <c r="H8" s="21"/>
      <c r="I8" s="21"/>
    </row>
    <row r="9" spans="1:9" s="11" customFormat="1" ht="19.5" customHeight="1">
      <c r="A9" s="31"/>
      <c r="B9" s="12" t="s">
        <v>17</v>
      </c>
      <c r="C9" s="17">
        <v>1000</v>
      </c>
      <c r="F9" s="21"/>
      <c r="G9" s="21"/>
      <c r="H9" s="21"/>
      <c r="I9" s="21"/>
    </row>
    <row r="10" spans="1:9" s="11" customFormat="1" ht="19.5" customHeight="1">
      <c r="A10" s="31">
        <v>2</v>
      </c>
      <c r="B10" s="19" t="s">
        <v>104</v>
      </c>
      <c r="C10" s="17">
        <f>SUM(C11:C13)</f>
        <v>21300</v>
      </c>
      <c r="F10" s="21"/>
      <c r="G10" s="21"/>
      <c r="H10" s="21"/>
      <c r="I10" s="21"/>
    </row>
    <row r="11" spans="1:9" s="8" customFormat="1" ht="19.5" customHeight="1">
      <c r="A11" s="24"/>
      <c r="B11" s="12" t="s">
        <v>15</v>
      </c>
      <c r="C11" s="18">
        <v>8000</v>
      </c>
      <c r="F11" s="10"/>
      <c r="G11" s="10"/>
      <c r="H11" s="10"/>
      <c r="I11" s="10"/>
    </row>
    <row r="12" spans="1:9" s="8" customFormat="1" ht="19.5" customHeight="1">
      <c r="A12" s="24"/>
      <c r="B12" s="12" t="s">
        <v>16</v>
      </c>
      <c r="C12" s="18">
        <v>1200</v>
      </c>
      <c r="F12" s="10"/>
      <c r="G12" s="10"/>
      <c r="H12" s="10"/>
      <c r="I12" s="10"/>
    </row>
    <row r="13" spans="1:9" s="8" customFormat="1" ht="19.5" customHeight="1">
      <c r="A13" s="24"/>
      <c r="B13" s="12" t="s">
        <v>17</v>
      </c>
      <c r="C13" s="18">
        <v>12100</v>
      </c>
      <c r="F13" s="10"/>
      <c r="G13" s="10"/>
      <c r="H13" s="10"/>
      <c r="I13" s="10"/>
    </row>
    <row r="14" spans="1:9" s="11" customFormat="1" ht="19.5" customHeight="1">
      <c r="A14" s="31">
        <v>3</v>
      </c>
      <c r="B14" s="19" t="s">
        <v>18</v>
      </c>
      <c r="C14" s="17">
        <v>5200</v>
      </c>
      <c r="F14" s="21"/>
      <c r="G14" s="21"/>
      <c r="H14" s="21"/>
      <c r="I14" s="21"/>
    </row>
    <row r="15" spans="1:9" s="11" customFormat="1" ht="19.5" customHeight="1">
      <c r="A15" s="31">
        <v>4</v>
      </c>
      <c r="B15" s="19" t="s">
        <v>105</v>
      </c>
      <c r="C15" s="17">
        <v>80</v>
      </c>
      <c r="F15" s="21"/>
      <c r="G15" s="21"/>
      <c r="H15" s="21"/>
      <c r="I15" s="21"/>
    </row>
    <row r="16" spans="1:9" s="11" customFormat="1" ht="19.5" customHeight="1">
      <c r="A16" s="31">
        <v>5</v>
      </c>
      <c r="B16" s="19" t="s">
        <v>19</v>
      </c>
      <c r="C16" s="17">
        <v>2220</v>
      </c>
      <c r="F16" s="21"/>
      <c r="G16" s="21"/>
      <c r="H16" s="21"/>
      <c r="I16" s="21"/>
    </row>
    <row r="17" spans="1:9" s="11" customFormat="1" ht="19.5" customHeight="1">
      <c r="A17" s="31">
        <v>6</v>
      </c>
      <c r="B17" s="19" t="s">
        <v>138</v>
      </c>
      <c r="C17" s="17">
        <f>C18+C21</f>
        <v>2700</v>
      </c>
      <c r="F17" s="21"/>
      <c r="G17" s="21"/>
      <c r="H17" s="21"/>
      <c r="I17" s="21"/>
    </row>
    <row r="18" spans="1:9" s="8" customFormat="1" ht="19.5" customHeight="1">
      <c r="A18" s="24"/>
      <c r="B18" s="12" t="s">
        <v>139</v>
      </c>
      <c r="C18" s="18">
        <v>2600</v>
      </c>
      <c r="F18" s="10"/>
      <c r="G18" s="10"/>
      <c r="H18" s="10"/>
      <c r="I18" s="10"/>
    </row>
    <row r="19" spans="1:9" s="8" customFormat="1" ht="19.5" customHeight="1">
      <c r="A19" s="24"/>
      <c r="B19" s="12" t="s">
        <v>269</v>
      </c>
      <c r="C19" s="18">
        <f>C18*70%</f>
        <v>1819.9999999999998</v>
      </c>
      <c r="F19" s="10"/>
      <c r="G19" s="10"/>
      <c r="H19" s="10"/>
      <c r="I19" s="10"/>
    </row>
    <row r="20" spans="1:9" s="8" customFormat="1" ht="19.5" customHeight="1">
      <c r="A20" s="24"/>
      <c r="B20" s="12" t="s">
        <v>270</v>
      </c>
      <c r="C20" s="18">
        <f>C18*30%</f>
        <v>780</v>
      </c>
      <c r="F20" s="10"/>
      <c r="G20" s="10"/>
      <c r="H20" s="10"/>
      <c r="I20" s="10"/>
    </row>
    <row r="21" spans="1:9" s="8" customFormat="1" ht="19.5" customHeight="1">
      <c r="A21" s="24"/>
      <c r="B21" s="12" t="s">
        <v>140</v>
      </c>
      <c r="C21" s="18">
        <v>100</v>
      </c>
      <c r="F21" s="10"/>
      <c r="G21" s="10"/>
      <c r="H21" s="10"/>
      <c r="I21" s="10"/>
    </row>
    <row r="22" spans="1:9" s="11" customFormat="1" ht="19.5" customHeight="1">
      <c r="A22" s="31">
        <v>7</v>
      </c>
      <c r="B22" s="19" t="s">
        <v>22</v>
      </c>
      <c r="C22" s="17">
        <v>1300</v>
      </c>
      <c r="E22" s="19"/>
      <c r="F22" s="397" t="s">
        <v>129</v>
      </c>
      <c r="G22" s="397"/>
      <c r="H22" s="397" t="s">
        <v>130</v>
      </c>
      <c r="I22" s="397"/>
    </row>
    <row r="23" spans="1:9" s="11" customFormat="1" ht="19.5" customHeight="1">
      <c r="A23" s="31"/>
      <c r="B23" s="12" t="s">
        <v>271</v>
      </c>
      <c r="C23" s="18">
        <v>100</v>
      </c>
      <c r="E23" s="19"/>
      <c r="F23" s="31"/>
      <c r="G23" s="31"/>
      <c r="H23" s="31"/>
      <c r="I23" s="31"/>
    </row>
    <row r="24" spans="1:9" s="8" customFormat="1" ht="19.5" customHeight="1">
      <c r="A24" s="24"/>
      <c r="B24" s="12" t="s">
        <v>272</v>
      </c>
      <c r="C24" s="18">
        <v>500</v>
      </c>
      <c r="E24" s="12"/>
      <c r="F24" s="24" t="s">
        <v>127</v>
      </c>
      <c r="G24" s="24" t="s">
        <v>128</v>
      </c>
      <c r="H24" s="24" t="s">
        <v>127</v>
      </c>
      <c r="I24" s="24" t="s">
        <v>128</v>
      </c>
    </row>
    <row r="25" spans="1:9" s="8" customFormat="1" ht="19.5" customHeight="1">
      <c r="A25" s="24"/>
      <c r="B25" s="12" t="s">
        <v>206</v>
      </c>
      <c r="C25" s="18">
        <v>200</v>
      </c>
      <c r="E25" s="12" t="s">
        <v>279</v>
      </c>
      <c r="F25" s="34"/>
      <c r="G25" s="24"/>
      <c r="H25" s="34"/>
      <c r="I25" s="24"/>
    </row>
    <row r="26" spans="1:9" s="11" customFormat="1" ht="19.5" customHeight="1">
      <c r="A26" s="31">
        <v>8</v>
      </c>
      <c r="B26" s="19" t="s">
        <v>20</v>
      </c>
      <c r="C26" s="17">
        <v>15000</v>
      </c>
      <c r="E26" s="12" t="s">
        <v>280</v>
      </c>
      <c r="F26" s="25">
        <f>C26*80%*90%</f>
        <v>10800</v>
      </c>
      <c r="G26" s="25">
        <f>C26*20%*90%</f>
        <v>2700</v>
      </c>
      <c r="H26" s="25">
        <f>C26*10%</f>
        <v>1500</v>
      </c>
      <c r="I26" s="25"/>
    </row>
    <row r="27" spans="1:9" s="11" customFormat="1" ht="19.5" customHeight="1">
      <c r="A27" s="31">
        <v>9</v>
      </c>
      <c r="B27" s="19" t="s">
        <v>106</v>
      </c>
      <c r="C27" s="17">
        <v>3000</v>
      </c>
      <c r="E27" s="19" t="s">
        <v>148</v>
      </c>
      <c r="F27" s="31"/>
      <c r="G27" s="31"/>
      <c r="H27" s="25"/>
      <c r="I27" s="31"/>
    </row>
    <row r="28" spans="1:9" s="11" customFormat="1" ht="19.5" customHeight="1">
      <c r="A28" s="31">
        <v>10</v>
      </c>
      <c r="B28" s="19" t="s">
        <v>21</v>
      </c>
      <c r="C28" s="17">
        <f>C29+C30</f>
        <v>2100</v>
      </c>
      <c r="E28" s="19" t="s">
        <v>111</v>
      </c>
      <c r="F28" s="25">
        <f>SUM(F24:F27)</f>
        <v>10800</v>
      </c>
      <c r="G28" s="25">
        <f>SUM(G24:G27)</f>
        <v>2700</v>
      </c>
      <c r="H28" s="25">
        <f>SUM(H24:H27)</f>
        <v>1500</v>
      </c>
      <c r="I28" s="25">
        <f>SUM(I24:I27)</f>
        <v>0</v>
      </c>
    </row>
    <row r="29" spans="1:9" s="8" customFormat="1" ht="19.5" customHeight="1">
      <c r="A29" s="24"/>
      <c r="B29" s="12" t="s">
        <v>141</v>
      </c>
      <c r="C29" s="18">
        <v>1480</v>
      </c>
      <c r="F29" s="10"/>
      <c r="G29" s="10"/>
      <c r="H29" s="10"/>
      <c r="I29" s="10"/>
    </row>
    <row r="30" spans="1:9" s="8" customFormat="1" ht="19.5" customHeight="1">
      <c r="A30" s="24"/>
      <c r="B30" s="12" t="s">
        <v>110</v>
      </c>
      <c r="C30" s="18">
        <v>620</v>
      </c>
      <c r="F30" s="10"/>
      <c r="G30" s="10"/>
      <c r="H30" s="10"/>
      <c r="I30" s="10"/>
    </row>
    <row r="31" spans="1:9" s="11" customFormat="1" ht="19.5" customHeight="1">
      <c r="A31" s="31">
        <v>11</v>
      </c>
      <c r="B31" s="19" t="s">
        <v>107</v>
      </c>
      <c r="C31" s="17">
        <v>100</v>
      </c>
      <c r="F31" s="21"/>
      <c r="G31" s="21"/>
      <c r="H31" s="21"/>
      <c r="I31" s="21"/>
    </row>
    <row r="32" spans="1:9" s="11" customFormat="1" ht="19.5" customHeight="1">
      <c r="A32" s="31" t="s">
        <v>2</v>
      </c>
      <c r="B32" s="16" t="s">
        <v>125</v>
      </c>
      <c r="C32" s="17">
        <f>C33+C36</f>
        <v>734734</v>
      </c>
      <c r="E32" s="30" t="e">
        <f>C32-#REF!</f>
        <v>#REF!</v>
      </c>
      <c r="F32" s="21"/>
      <c r="G32" s="21"/>
      <c r="H32" s="21"/>
      <c r="I32" s="21"/>
    </row>
    <row r="33" spans="1:9" s="11" customFormat="1" ht="19.5" customHeight="1">
      <c r="A33" s="31" t="s">
        <v>108</v>
      </c>
      <c r="B33" s="19" t="s">
        <v>142</v>
      </c>
      <c r="C33" s="17">
        <f>C34+C35</f>
        <v>50600</v>
      </c>
      <c r="E33" s="23">
        <f>C7-C33</f>
        <v>3400</v>
      </c>
      <c r="F33" s="20">
        <f>C33-C26-C27-C24-C25-C31</f>
        <v>31800</v>
      </c>
      <c r="G33" s="21"/>
      <c r="H33" s="21"/>
      <c r="I33" s="21"/>
    </row>
    <row r="34" spans="1:9" s="11" customFormat="1" ht="19.5" customHeight="1">
      <c r="A34" s="24"/>
      <c r="B34" s="12" t="s">
        <v>143</v>
      </c>
      <c r="C34" s="18">
        <v>38400</v>
      </c>
      <c r="D34" s="22"/>
      <c r="E34" s="22"/>
      <c r="F34" s="10"/>
      <c r="G34" s="10"/>
      <c r="H34" s="10"/>
      <c r="I34" s="10"/>
    </row>
    <row r="35" spans="1:9" s="11" customFormat="1" ht="19.5" customHeight="1">
      <c r="A35" s="24"/>
      <c r="B35" s="12" t="s">
        <v>144</v>
      </c>
      <c r="C35" s="18">
        <f>C20+C11+C12+C16</f>
        <v>12200</v>
      </c>
      <c r="D35" s="22"/>
      <c r="E35" s="22"/>
      <c r="F35" s="10"/>
      <c r="G35" s="10"/>
      <c r="H35" s="10"/>
      <c r="I35" s="10"/>
    </row>
    <row r="36" spans="1:9" s="11" customFormat="1" ht="19.5" customHeight="1">
      <c r="A36" s="31" t="s">
        <v>4</v>
      </c>
      <c r="B36" s="19" t="s">
        <v>124</v>
      </c>
      <c r="C36" s="17">
        <f>C37+C38</f>
        <v>684134</v>
      </c>
      <c r="D36" s="23"/>
      <c r="F36" s="21"/>
      <c r="G36" s="21"/>
      <c r="H36" s="21"/>
      <c r="I36" s="21"/>
    </row>
    <row r="37" spans="1:9" s="8" customFormat="1" ht="19.5" customHeight="1">
      <c r="A37" s="24">
        <v>1</v>
      </c>
      <c r="B37" s="12" t="s">
        <v>109</v>
      </c>
      <c r="C37" s="18">
        <v>684106</v>
      </c>
      <c r="F37" s="10"/>
      <c r="G37" s="10"/>
      <c r="H37" s="10"/>
      <c r="I37" s="10"/>
    </row>
    <row r="38" spans="1:9" s="8" customFormat="1" ht="19.5" customHeight="1">
      <c r="A38" s="24">
        <v>2</v>
      </c>
      <c r="B38" s="12" t="s">
        <v>182</v>
      </c>
      <c r="C38" s="18">
        <v>28</v>
      </c>
      <c r="F38" s="10"/>
      <c r="G38" s="10"/>
      <c r="H38" s="10"/>
      <c r="I38" s="10"/>
    </row>
    <row r="39" spans="1:9" s="8" customFormat="1" ht="15.5">
      <c r="A39" s="10"/>
      <c r="C39" s="10"/>
      <c r="F39" s="10"/>
      <c r="G39" s="10"/>
      <c r="H39" s="10"/>
      <c r="I39" s="10"/>
    </row>
    <row r="40" spans="1:9" s="8" customFormat="1" ht="15.5">
      <c r="A40" s="10"/>
      <c r="B40" s="11"/>
      <c r="C40" s="29"/>
      <c r="F40" s="10"/>
      <c r="G40" s="10"/>
      <c r="H40" s="10"/>
      <c r="I40" s="10"/>
    </row>
    <row r="41" spans="1:9" s="8" customFormat="1" ht="15.5">
      <c r="A41" s="10"/>
      <c r="C41" s="15"/>
      <c r="F41" s="10"/>
      <c r="G41" s="10"/>
      <c r="H41" s="10"/>
      <c r="I41" s="10"/>
    </row>
    <row r="42" spans="1:9" s="8" customFormat="1" ht="15.5">
      <c r="A42" s="10"/>
      <c r="C42" s="15"/>
      <c r="F42" s="10"/>
      <c r="G42" s="10"/>
      <c r="H42" s="10"/>
      <c r="I42" s="10"/>
    </row>
    <row r="43" spans="1:9">
      <c r="C43" s="13"/>
    </row>
  </sheetData>
  <mergeCells count="4">
    <mergeCell ref="A2:C2"/>
    <mergeCell ref="A3:C3"/>
    <mergeCell ref="F22:G22"/>
    <mergeCell ref="H22:I22"/>
  </mergeCells>
  <phoneticPr fontId="28" type="noConversion"/>
  <pageMargins left="0.56000000000000005" right="0.15748031496062992" top="0.54" bottom="0.59055118110236227" header="0.19685039370078741" footer="0.19685039370078741"/>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sheetPr>
  <dimension ref="A1:AH132"/>
  <sheetViews>
    <sheetView topLeftCell="D1" zoomScaleNormal="100" workbookViewId="0">
      <selection activeCell="AN11" sqref="AN11"/>
    </sheetView>
  </sheetViews>
  <sheetFormatPr defaultColWidth="9.1796875" defaultRowHeight="15.5"/>
  <cols>
    <col min="1" max="1" width="4.26953125" style="195" customWidth="1"/>
    <col min="2" max="2" width="32.453125" style="15" customWidth="1"/>
    <col min="3" max="3" width="8.81640625" style="15" customWidth="1"/>
    <col min="4" max="4" width="8" style="15" customWidth="1"/>
    <col min="5" max="5" width="7.1796875" style="15" customWidth="1"/>
    <col min="6" max="6" width="6.54296875" style="15" customWidth="1"/>
    <col min="7" max="7" width="5.81640625" style="15" customWidth="1"/>
    <col min="8" max="8" width="6.26953125" style="15" customWidth="1"/>
    <col min="9" max="9" width="5.54296875" style="15" customWidth="1"/>
    <col min="10" max="10" width="6.81640625" style="15" customWidth="1"/>
    <col min="11" max="12" width="5.81640625" style="15" customWidth="1"/>
    <col min="13" max="13" width="5.54296875" style="15" customWidth="1"/>
    <col min="14" max="14" width="6.54296875" style="15" customWidth="1"/>
    <col min="15" max="15" width="5.453125" style="15" customWidth="1"/>
    <col min="16" max="16" width="5.81640625" style="15" customWidth="1"/>
    <col min="17" max="17" width="6.26953125" style="15" customWidth="1"/>
    <col min="18" max="18" width="5.453125" style="15" customWidth="1"/>
    <col min="19" max="19" width="6.81640625" style="15" customWidth="1"/>
    <col min="20" max="22" width="7" style="15" customWidth="1"/>
    <col min="23" max="23" width="6.26953125" style="15" customWidth="1"/>
    <col min="24" max="25" width="6.1796875" style="15" customWidth="1"/>
    <col min="26" max="26" width="5.453125" style="15" customWidth="1"/>
    <col min="27" max="27" width="5.7265625" style="15" customWidth="1"/>
    <col min="28" max="28" width="6.54296875" style="15" customWidth="1"/>
    <col min="29" max="29" width="6.1796875" style="15" customWidth="1"/>
    <col min="30" max="30" width="6" style="15" customWidth="1"/>
    <col min="31" max="31" width="11.54296875" style="15" hidden="1" customWidth="1"/>
    <col min="32" max="32" width="5.54296875" style="15" hidden="1" customWidth="1"/>
    <col min="33" max="34" width="6.54296875" style="15" customWidth="1"/>
    <col min="35" max="35" width="5.54296875" style="15" customWidth="1"/>
    <col min="36" max="16384" width="9.1796875" style="15"/>
  </cols>
  <sheetData>
    <row r="1" spans="1:32">
      <c r="AB1" s="376" t="s">
        <v>381</v>
      </c>
      <c r="AC1" s="376"/>
      <c r="AD1" s="376"/>
    </row>
    <row r="2" spans="1:32" ht="23.25" customHeight="1">
      <c r="A2" s="400" t="s">
        <v>282</v>
      </c>
      <c r="B2" s="400"/>
      <c r="C2" s="400"/>
      <c r="D2" s="400"/>
      <c r="E2" s="400"/>
      <c r="F2" s="400"/>
      <c r="G2" s="400"/>
      <c r="H2" s="400"/>
      <c r="I2" s="400"/>
      <c r="J2" s="400"/>
      <c r="K2" s="400"/>
      <c r="L2" s="400"/>
      <c r="M2" s="400"/>
      <c r="N2" s="400"/>
      <c r="O2" s="400"/>
      <c r="P2" s="400"/>
      <c r="Q2" s="400"/>
      <c r="R2" s="400"/>
      <c r="S2" s="400"/>
      <c r="T2" s="400"/>
      <c r="U2" s="400"/>
      <c r="V2" s="400"/>
      <c r="W2" s="400"/>
      <c r="X2" s="400"/>
      <c r="Y2" s="400"/>
      <c r="Z2" s="400"/>
      <c r="AA2" s="400"/>
      <c r="AB2" s="400"/>
      <c r="AC2" s="400"/>
      <c r="AD2" s="400"/>
    </row>
    <row r="3" spans="1:32" ht="18.75" customHeight="1">
      <c r="A3" s="399" t="str">
        <f>'Thu 2022'!A3:I3</f>
        <v>(Kèm theo Báo cáo số            /BC-UBND ngày       tháng 12 năm 2022 của UBND huyện Tuần Giáo)</v>
      </c>
      <c r="B3" s="399"/>
      <c r="C3" s="399"/>
      <c r="D3" s="399"/>
      <c r="E3" s="399"/>
      <c r="F3" s="399"/>
      <c r="G3" s="399"/>
      <c r="H3" s="399"/>
      <c r="I3" s="399"/>
      <c r="J3" s="399"/>
      <c r="K3" s="399"/>
      <c r="L3" s="399"/>
      <c r="M3" s="399"/>
      <c r="N3" s="399"/>
      <c r="O3" s="399"/>
      <c r="P3" s="399"/>
      <c r="Q3" s="399"/>
      <c r="R3" s="399"/>
      <c r="S3" s="399"/>
      <c r="T3" s="399"/>
      <c r="U3" s="399"/>
      <c r="V3" s="399"/>
      <c r="W3" s="399"/>
      <c r="X3" s="399"/>
      <c r="Y3" s="399"/>
      <c r="Z3" s="399"/>
      <c r="AA3" s="399"/>
      <c r="AB3" s="399"/>
      <c r="AC3" s="399"/>
      <c r="AD3" s="399"/>
    </row>
    <row r="4" spans="1:32" s="200" customFormat="1" ht="18" customHeight="1">
      <c r="A4" s="196"/>
      <c r="B4" s="197"/>
      <c r="C4" s="198"/>
      <c r="D4" s="199"/>
      <c r="E4" s="199"/>
      <c r="F4" s="199"/>
      <c r="G4" s="199"/>
      <c r="H4" s="199"/>
      <c r="I4" s="199"/>
      <c r="J4" s="199"/>
      <c r="K4" s="199"/>
      <c r="L4" s="199"/>
      <c r="M4" s="199"/>
      <c r="N4" s="199"/>
      <c r="O4" s="199"/>
      <c r="P4" s="199"/>
      <c r="Q4" s="199"/>
      <c r="R4" s="199"/>
      <c r="S4" s="199"/>
      <c r="T4" s="199"/>
      <c r="U4" s="199"/>
      <c r="V4" s="199"/>
      <c r="W4" s="199"/>
      <c r="X4" s="199"/>
      <c r="Y4" s="199"/>
      <c r="AA4" s="199"/>
      <c r="AB4" s="401" t="s">
        <v>102</v>
      </c>
      <c r="AC4" s="401"/>
      <c r="AD4" s="401"/>
    </row>
    <row r="5" spans="1:32" s="206" customFormat="1" ht="57" customHeight="1">
      <c r="A5" s="201" t="s">
        <v>0</v>
      </c>
      <c r="B5" s="202" t="s">
        <v>44</v>
      </c>
      <c r="C5" s="203" t="s">
        <v>45</v>
      </c>
      <c r="D5" s="204" t="s">
        <v>46</v>
      </c>
      <c r="E5" s="204" t="s">
        <v>48</v>
      </c>
      <c r="F5" s="204" t="s">
        <v>49</v>
      </c>
      <c r="G5" s="204" t="s">
        <v>47</v>
      </c>
      <c r="H5" s="204" t="s">
        <v>50</v>
      </c>
      <c r="I5" s="204" t="s">
        <v>51</v>
      </c>
      <c r="J5" s="204" t="s">
        <v>99</v>
      </c>
      <c r="K5" s="205" t="s">
        <v>52</v>
      </c>
      <c r="L5" s="204" t="s">
        <v>53</v>
      </c>
      <c r="M5" s="204" t="s">
        <v>98</v>
      </c>
      <c r="N5" s="204" t="s">
        <v>54</v>
      </c>
      <c r="O5" s="204" t="s">
        <v>55</v>
      </c>
      <c r="P5" s="204" t="s">
        <v>56</v>
      </c>
      <c r="Q5" s="204" t="s">
        <v>57</v>
      </c>
      <c r="R5" s="204" t="s">
        <v>59</v>
      </c>
      <c r="S5" s="204" t="s">
        <v>58</v>
      </c>
      <c r="T5" s="204" t="s">
        <v>100</v>
      </c>
      <c r="U5" s="204" t="s">
        <v>60</v>
      </c>
      <c r="V5" s="204" t="s">
        <v>63</v>
      </c>
      <c r="W5" s="204" t="s">
        <v>61</v>
      </c>
      <c r="X5" s="204" t="s">
        <v>251</v>
      </c>
      <c r="Y5" s="204" t="s">
        <v>62</v>
      </c>
      <c r="Z5" s="204" t="s">
        <v>64</v>
      </c>
      <c r="AA5" s="204" t="s">
        <v>65</v>
      </c>
      <c r="AB5" s="204" t="s">
        <v>66</v>
      </c>
      <c r="AC5" s="204" t="s">
        <v>67</v>
      </c>
      <c r="AD5" s="204" t="s">
        <v>68</v>
      </c>
    </row>
    <row r="6" spans="1:32" s="210" customFormat="1" ht="23.25" customHeight="1">
      <c r="A6" s="207" t="s">
        <v>1</v>
      </c>
      <c r="B6" s="207" t="s">
        <v>2</v>
      </c>
      <c r="C6" s="208" t="s">
        <v>69</v>
      </c>
      <c r="D6" s="209" t="s">
        <v>70</v>
      </c>
      <c r="E6" s="208">
        <v>1</v>
      </c>
      <c r="F6" s="208">
        <v>2</v>
      </c>
      <c r="G6" s="208">
        <v>3</v>
      </c>
      <c r="H6" s="208">
        <v>4</v>
      </c>
      <c r="I6" s="208">
        <v>5</v>
      </c>
      <c r="J6" s="208">
        <v>6</v>
      </c>
      <c r="K6" s="208">
        <v>7</v>
      </c>
      <c r="L6" s="208">
        <v>8</v>
      </c>
      <c r="M6" s="208">
        <v>9</v>
      </c>
      <c r="N6" s="208">
        <v>10</v>
      </c>
      <c r="O6" s="208">
        <v>11</v>
      </c>
      <c r="P6" s="208">
        <v>12</v>
      </c>
      <c r="Q6" s="208">
        <v>13</v>
      </c>
      <c r="R6" s="208">
        <v>14</v>
      </c>
      <c r="S6" s="208">
        <v>15</v>
      </c>
      <c r="T6" s="208">
        <v>16</v>
      </c>
      <c r="U6" s="208">
        <v>17</v>
      </c>
      <c r="V6" s="208">
        <v>18</v>
      </c>
      <c r="W6" s="208">
        <v>19</v>
      </c>
      <c r="X6" s="208">
        <v>20</v>
      </c>
      <c r="Y6" s="208">
        <v>21</v>
      </c>
      <c r="Z6" s="208">
        <v>22</v>
      </c>
      <c r="AA6" s="208">
        <v>23</v>
      </c>
      <c r="AB6" s="208">
        <v>24</v>
      </c>
      <c r="AC6" s="208">
        <v>25</v>
      </c>
      <c r="AD6" s="208" t="s">
        <v>25</v>
      </c>
    </row>
    <row r="7" spans="1:32" s="214" customFormat="1" ht="21.75" customHeight="1">
      <c r="A7" s="211"/>
      <c r="B7" s="212" t="s">
        <v>71</v>
      </c>
      <c r="C7" s="213">
        <f>+C8+C85</f>
        <v>734734</v>
      </c>
      <c r="D7" s="213">
        <f t="shared" ref="D7:AD7" si="0">+D8+D85</f>
        <v>642771.75510204083</v>
      </c>
      <c r="E7" s="213">
        <f t="shared" si="0"/>
        <v>8107</v>
      </c>
      <c r="F7" s="213">
        <f t="shared" si="0"/>
        <v>3784</v>
      </c>
      <c r="G7" s="213">
        <f t="shared" si="0"/>
        <v>7929</v>
      </c>
      <c r="H7" s="213">
        <f t="shared" si="0"/>
        <v>6080</v>
      </c>
      <c r="I7" s="213">
        <f t="shared" si="0"/>
        <v>2420</v>
      </c>
      <c r="J7" s="213">
        <f t="shared" si="0"/>
        <v>8875</v>
      </c>
      <c r="K7" s="213">
        <f t="shared" si="0"/>
        <v>871</v>
      </c>
      <c r="L7" s="213">
        <f t="shared" si="0"/>
        <v>639</v>
      </c>
      <c r="M7" s="213">
        <f t="shared" si="0"/>
        <v>2440</v>
      </c>
      <c r="N7" s="213">
        <f t="shared" si="0"/>
        <v>328</v>
      </c>
      <c r="O7" s="213">
        <f t="shared" si="0"/>
        <v>1920</v>
      </c>
      <c r="P7" s="213">
        <f t="shared" si="0"/>
        <v>46453</v>
      </c>
      <c r="Q7" s="213">
        <f t="shared" si="0"/>
        <v>384</v>
      </c>
      <c r="R7" s="213">
        <f t="shared" si="0"/>
        <v>678</v>
      </c>
      <c r="S7" s="213">
        <f t="shared" si="0"/>
        <v>424980</v>
      </c>
      <c r="T7" s="213">
        <f t="shared" si="0"/>
        <v>926</v>
      </c>
      <c r="U7" s="213">
        <f t="shared" si="0"/>
        <v>3324</v>
      </c>
      <c r="V7" s="213">
        <f t="shared" si="0"/>
        <v>149</v>
      </c>
      <c r="W7" s="213">
        <f t="shared" si="0"/>
        <v>6784</v>
      </c>
      <c r="X7" s="213">
        <f t="shared" si="0"/>
        <v>785</v>
      </c>
      <c r="Y7" s="213">
        <f t="shared" si="0"/>
        <v>5006</v>
      </c>
      <c r="Z7" s="213">
        <f>+Z8+Z85</f>
        <v>1460</v>
      </c>
      <c r="AA7" s="213">
        <f t="shared" si="0"/>
        <v>4854</v>
      </c>
      <c r="AB7" s="213">
        <f t="shared" si="0"/>
        <v>34168</v>
      </c>
      <c r="AC7" s="213">
        <f>+AC8+AC85</f>
        <v>69427.755102040814</v>
      </c>
      <c r="AD7" s="213">
        <f t="shared" si="0"/>
        <v>91962.244897959186</v>
      </c>
      <c r="AE7" s="15">
        <f>711818+4000</f>
        <v>715818</v>
      </c>
      <c r="AF7" s="15">
        <f>AE7-C7</f>
        <v>-18916</v>
      </c>
    </row>
    <row r="8" spans="1:32" s="214" customFormat="1" ht="21.75" customHeight="1">
      <c r="A8" s="215" t="s">
        <v>1</v>
      </c>
      <c r="B8" s="212" t="s">
        <v>72</v>
      </c>
      <c r="C8" s="213">
        <f>C9+C14+C84</f>
        <v>734706</v>
      </c>
      <c r="D8" s="213">
        <f t="shared" ref="D8:AD8" si="1">D9+D14+D84</f>
        <v>642743.75510204083</v>
      </c>
      <c r="E8" s="213">
        <f t="shared" si="1"/>
        <v>8107</v>
      </c>
      <c r="F8" s="213">
        <f t="shared" si="1"/>
        <v>3784</v>
      </c>
      <c r="G8" s="213">
        <f t="shared" si="1"/>
        <v>7929</v>
      </c>
      <c r="H8" s="213">
        <f t="shared" si="1"/>
        <v>6080</v>
      </c>
      <c r="I8" s="213">
        <f t="shared" si="1"/>
        <v>2420</v>
      </c>
      <c r="J8" s="213">
        <f t="shared" si="1"/>
        <v>8875</v>
      </c>
      <c r="K8" s="213">
        <f t="shared" si="1"/>
        <v>871</v>
      </c>
      <c r="L8" s="213">
        <f t="shared" si="1"/>
        <v>639</v>
      </c>
      <c r="M8" s="213">
        <f t="shared" si="1"/>
        <v>2440</v>
      </c>
      <c r="N8" s="213">
        <f t="shared" si="1"/>
        <v>328</v>
      </c>
      <c r="O8" s="213">
        <f t="shared" si="1"/>
        <v>1920</v>
      </c>
      <c r="P8" s="213">
        <f t="shared" si="1"/>
        <v>46453</v>
      </c>
      <c r="Q8" s="213">
        <f t="shared" si="1"/>
        <v>384</v>
      </c>
      <c r="R8" s="213">
        <f t="shared" si="1"/>
        <v>678</v>
      </c>
      <c r="S8" s="213">
        <f t="shared" si="1"/>
        <v>424980</v>
      </c>
      <c r="T8" s="213">
        <f t="shared" si="1"/>
        <v>926</v>
      </c>
      <c r="U8" s="213">
        <f t="shared" si="1"/>
        <v>3324</v>
      </c>
      <c r="V8" s="213">
        <f t="shared" si="1"/>
        <v>149</v>
      </c>
      <c r="W8" s="213">
        <f t="shared" si="1"/>
        <v>6784</v>
      </c>
      <c r="X8" s="213">
        <f t="shared" si="1"/>
        <v>785</v>
      </c>
      <c r="Y8" s="213">
        <f t="shared" si="1"/>
        <v>5006</v>
      </c>
      <c r="Z8" s="213">
        <f t="shared" si="1"/>
        <v>1432</v>
      </c>
      <c r="AA8" s="213">
        <f t="shared" si="1"/>
        <v>4854</v>
      </c>
      <c r="AB8" s="213">
        <f t="shared" si="1"/>
        <v>34168</v>
      </c>
      <c r="AC8" s="213">
        <f>AC9+AC14+AC84</f>
        <v>69427.755102040814</v>
      </c>
      <c r="AD8" s="213">
        <f t="shared" si="1"/>
        <v>91962.244897959186</v>
      </c>
      <c r="AE8" s="15"/>
      <c r="AF8" s="15"/>
    </row>
    <row r="9" spans="1:32" s="214" customFormat="1" ht="22.5" customHeight="1">
      <c r="A9" s="216" t="s">
        <v>3</v>
      </c>
      <c r="B9" s="217" t="s">
        <v>23</v>
      </c>
      <c r="C9" s="218">
        <f>C10+C11</f>
        <v>36868</v>
      </c>
      <c r="D9" s="218">
        <f>D10+D11</f>
        <v>34168</v>
      </c>
      <c r="E9" s="218">
        <f t="shared" ref="E9:AC9" si="2">E10+E11</f>
        <v>0</v>
      </c>
      <c r="F9" s="218">
        <f t="shared" si="2"/>
        <v>0</v>
      </c>
      <c r="G9" s="218">
        <f t="shared" si="2"/>
        <v>0</v>
      </c>
      <c r="H9" s="218">
        <f t="shared" si="2"/>
        <v>0</v>
      </c>
      <c r="I9" s="218">
        <f t="shared" si="2"/>
        <v>0</v>
      </c>
      <c r="J9" s="218">
        <f t="shared" si="2"/>
        <v>0</v>
      </c>
      <c r="K9" s="218">
        <f t="shared" si="2"/>
        <v>0</v>
      </c>
      <c r="L9" s="218">
        <f t="shared" si="2"/>
        <v>0</v>
      </c>
      <c r="M9" s="218">
        <f t="shared" si="2"/>
        <v>0</v>
      </c>
      <c r="N9" s="218">
        <f t="shared" si="2"/>
        <v>0</v>
      </c>
      <c r="O9" s="218">
        <f t="shared" si="2"/>
        <v>0</v>
      </c>
      <c r="P9" s="218">
        <f t="shared" si="2"/>
        <v>0</v>
      </c>
      <c r="Q9" s="218">
        <f t="shared" si="2"/>
        <v>0</v>
      </c>
      <c r="R9" s="218">
        <f t="shared" si="2"/>
        <v>0</v>
      </c>
      <c r="S9" s="218">
        <f t="shared" si="2"/>
        <v>0</v>
      </c>
      <c r="T9" s="218">
        <f t="shared" si="2"/>
        <v>0</v>
      </c>
      <c r="U9" s="218">
        <f t="shared" si="2"/>
        <v>0</v>
      </c>
      <c r="V9" s="218">
        <f t="shared" si="2"/>
        <v>0</v>
      </c>
      <c r="W9" s="218">
        <f t="shared" si="2"/>
        <v>0</v>
      </c>
      <c r="X9" s="218">
        <f t="shared" si="2"/>
        <v>0</v>
      </c>
      <c r="Y9" s="218">
        <f t="shared" si="2"/>
        <v>0</v>
      </c>
      <c r="Z9" s="218">
        <f t="shared" si="2"/>
        <v>0</v>
      </c>
      <c r="AA9" s="218">
        <f t="shared" si="2"/>
        <v>0</v>
      </c>
      <c r="AB9" s="218">
        <f t="shared" si="2"/>
        <v>34168</v>
      </c>
      <c r="AC9" s="218">
        <f t="shared" si="2"/>
        <v>0</v>
      </c>
      <c r="AD9" s="218">
        <f>AD10+AD11</f>
        <v>2700</v>
      </c>
      <c r="AE9" s="15">
        <f>36634+(4000*90%)</f>
        <v>40234</v>
      </c>
      <c r="AF9" s="15">
        <f>AE9-C9</f>
        <v>3366</v>
      </c>
    </row>
    <row r="10" spans="1:32" ht="21" customHeight="1">
      <c r="A10" s="216">
        <v>1</v>
      </c>
      <c r="B10" s="217" t="s">
        <v>120</v>
      </c>
      <c r="C10" s="218">
        <f>D10+AD10</f>
        <v>23368</v>
      </c>
      <c r="D10" s="218">
        <f>SUM(E10:AC10)</f>
        <v>23368</v>
      </c>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v>23368</v>
      </c>
      <c r="AC10" s="218"/>
      <c r="AD10" s="218"/>
    </row>
    <row r="11" spans="1:32" ht="21" customHeight="1">
      <c r="A11" s="216">
        <v>2</v>
      </c>
      <c r="B11" s="217" t="s">
        <v>121</v>
      </c>
      <c r="C11" s="218">
        <f>D11+AD11</f>
        <v>13500</v>
      </c>
      <c r="D11" s="218">
        <f>D12+D13</f>
        <v>10800</v>
      </c>
      <c r="E11" s="218">
        <f t="shared" ref="E11:AD11" si="3">E12+E13</f>
        <v>0</v>
      </c>
      <c r="F11" s="218">
        <f t="shared" si="3"/>
        <v>0</v>
      </c>
      <c r="G11" s="218">
        <f>G12+G13</f>
        <v>0</v>
      </c>
      <c r="H11" s="218">
        <f t="shared" si="3"/>
        <v>0</v>
      </c>
      <c r="I11" s="218">
        <f t="shared" si="3"/>
        <v>0</v>
      </c>
      <c r="J11" s="218">
        <f t="shared" si="3"/>
        <v>0</v>
      </c>
      <c r="K11" s="218">
        <f t="shared" si="3"/>
        <v>0</v>
      </c>
      <c r="L11" s="218">
        <f t="shared" si="3"/>
        <v>0</v>
      </c>
      <c r="M11" s="218">
        <f t="shared" si="3"/>
        <v>0</v>
      </c>
      <c r="N11" s="218">
        <f t="shared" si="3"/>
        <v>0</v>
      </c>
      <c r="O11" s="218">
        <f t="shared" si="3"/>
        <v>0</v>
      </c>
      <c r="P11" s="218">
        <f t="shared" si="3"/>
        <v>0</v>
      </c>
      <c r="Q11" s="218">
        <f t="shared" si="3"/>
        <v>0</v>
      </c>
      <c r="R11" s="218">
        <f t="shared" si="3"/>
        <v>0</v>
      </c>
      <c r="S11" s="218">
        <f>S12+S13</f>
        <v>0</v>
      </c>
      <c r="T11" s="218">
        <f t="shared" si="3"/>
        <v>0</v>
      </c>
      <c r="U11" s="218">
        <f t="shared" si="3"/>
        <v>0</v>
      </c>
      <c r="V11" s="218">
        <f>V12+V13</f>
        <v>0</v>
      </c>
      <c r="W11" s="218">
        <f t="shared" si="3"/>
        <v>0</v>
      </c>
      <c r="X11" s="218">
        <f t="shared" si="3"/>
        <v>0</v>
      </c>
      <c r="Y11" s="218">
        <f t="shared" si="3"/>
        <v>0</v>
      </c>
      <c r="Z11" s="218">
        <f t="shared" si="3"/>
        <v>0</v>
      </c>
      <c r="AA11" s="218">
        <f t="shared" si="3"/>
        <v>0</v>
      </c>
      <c r="AB11" s="218">
        <f t="shared" si="3"/>
        <v>10800</v>
      </c>
      <c r="AC11" s="218">
        <f t="shared" si="3"/>
        <v>0</v>
      </c>
      <c r="AD11" s="218">
        <f t="shared" si="3"/>
        <v>2700</v>
      </c>
    </row>
    <row r="12" spans="1:32" ht="17.25" customHeight="1">
      <c r="A12" s="219"/>
      <c r="B12" s="220" t="s">
        <v>27</v>
      </c>
      <c r="C12" s="218">
        <f>D12+AD12</f>
        <v>13500</v>
      </c>
      <c r="D12" s="218">
        <f>SUM(E12:AC12)</f>
        <v>10800</v>
      </c>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f>'Thu 2023'!F26</f>
        <v>10800</v>
      </c>
      <c r="AC12" s="221"/>
      <c r="AD12" s="221">
        <f>'Thu 2023'!G26</f>
        <v>2700</v>
      </c>
    </row>
    <row r="13" spans="1:32" ht="30" hidden="1" customHeight="1">
      <c r="A13" s="219"/>
      <c r="B13" s="222" t="s">
        <v>147</v>
      </c>
      <c r="C13" s="218">
        <f>D13+AD13</f>
        <v>0</v>
      </c>
      <c r="D13" s="218">
        <f>SUM(E13:AC13)</f>
        <v>0</v>
      </c>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row>
    <row r="14" spans="1:32" ht="21.75" customHeight="1">
      <c r="A14" s="216" t="s">
        <v>4</v>
      </c>
      <c r="B14" s="217" t="s">
        <v>24</v>
      </c>
      <c r="C14" s="218">
        <f>C15+C19+C21+C38+C37+C39+C40+C41+C75+C43+C42+C56+C81</f>
        <v>683144</v>
      </c>
      <c r="D14" s="218">
        <f t="shared" ref="D14:AC14" si="4">D15+D19+D21+D38+D37+D39+D40+D41+D75+D43+D42+D56+D81</f>
        <v>595721</v>
      </c>
      <c r="E14" s="218">
        <f>E15+E19+E21+E38+E37+E39+E40+E41+E75+E43+E42+E56+E81</f>
        <v>8107</v>
      </c>
      <c r="F14" s="218">
        <f>F15+F19+F21+F38+F37+F39+F40+F41+F75+F43+F42+F56+F81</f>
        <v>3784</v>
      </c>
      <c r="G14" s="218">
        <f t="shared" si="4"/>
        <v>7929</v>
      </c>
      <c r="H14" s="218">
        <f t="shared" si="4"/>
        <v>6080</v>
      </c>
      <c r="I14" s="218">
        <f t="shared" si="4"/>
        <v>2420</v>
      </c>
      <c r="J14" s="218">
        <f t="shared" si="4"/>
        <v>8875</v>
      </c>
      <c r="K14" s="218">
        <f t="shared" si="4"/>
        <v>871</v>
      </c>
      <c r="L14" s="218">
        <f t="shared" si="4"/>
        <v>639</v>
      </c>
      <c r="M14" s="218">
        <f t="shared" si="4"/>
        <v>2440</v>
      </c>
      <c r="N14" s="218">
        <f t="shared" si="4"/>
        <v>328</v>
      </c>
      <c r="O14" s="218">
        <f t="shared" si="4"/>
        <v>1920</v>
      </c>
      <c r="P14" s="218">
        <f t="shared" si="4"/>
        <v>46453</v>
      </c>
      <c r="Q14" s="218">
        <f t="shared" si="4"/>
        <v>384</v>
      </c>
      <c r="R14" s="218">
        <f t="shared" si="4"/>
        <v>678</v>
      </c>
      <c r="S14" s="218">
        <f t="shared" si="4"/>
        <v>424980</v>
      </c>
      <c r="T14" s="218">
        <f t="shared" si="4"/>
        <v>926</v>
      </c>
      <c r="U14" s="218">
        <f t="shared" si="4"/>
        <v>3324</v>
      </c>
      <c r="V14" s="218">
        <f t="shared" si="4"/>
        <v>149</v>
      </c>
      <c r="W14" s="218">
        <f t="shared" si="4"/>
        <v>6784</v>
      </c>
      <c r="X14" s="218">
        <f t="shared" si="4"/>
        <v>785</v>
      </c>
      <c r="Y14" s="218">
        <f t="shared" si="4"/>
        <v>5006</v>
      </c>
      <c r="Z14" s="218">
        <f t="shared" si="4"/>
        <v>1432</v>
      </c>
      <c r="AA14" s="218">
        <f t="shared" si="4"/>
        <v>4854</v>
      </c>
      <c r="AB14" s="218">
        <f t="shared" si="4"/>
        <v>0</v>
      </c>
      <c r="AC14" s="218">
        <f t="shared" si="4"/>
        <v>56573</v>
      </c>
      <c r="AD14" s="218">
        <f>AD15+AD19+AD21+AD38+AD37+AD39+AD40+AD41+AD75+AD43+AD42+AD56+AD81</f>
        <v>87423</v>
      </c>
      <c r="AE14" s="15">
        <f>660466+341+(4000*10%)</f>
        <v>661207</v>
      </c>
      <c r="AF14" s="15">
        <f>AE14-C14</f>
        <v>-21937</v>
      </c>
    </row>
    <row r="15" spans="1:32" ht="18.75" customHeight="1">
      <c r="A15" s="219">
        <v>1</v>
      </c>
      <c r="B15" s="220" t="s">
        <v>73</v>
      </c>
      <c r="C15" s="218">
        <f t="shared" ref="C15:C20" si="5">D15+AD15</f>
        <v>9082</v>
      </c>
      <c r="D15" s="218">
        <f t="shared" ref="D15:D20" si="6">SUM(E15:AC15)</f>
        <v>4854</v>
      </c>
      <c r="E15" s="221"/>
      <c r="F15" s="221"/>
      <c r="G15" s="221"/>
      <c r="H15" s="221"/>
      <c r="I15" s="221"/>
      <c r="J15" s="221"/>
      <c r="K15" s="221"/>
      <c r="L15" s="221"/>
      <c r="M15" s="221"/>
      <c r="N15" s="221"/>
      <c r="O15" s="221"/>
      <c r="P15" s="221"/>
      <c r="Q15" s="221"/>
      <c r="R15" s="221"/>
      <c r="S15" s="221"/>
      <c r="T15" s="221"/>
      <c r="U15" s="221"/>
      <c r="V15" s="221"/>
      <c r="W15" s="221"/>
      <c r="X15" s="221"/>
      <c r="Y15" s="221"/>
      <c r="Z15" s="221"/>
      <c r="AA15" s="221">
        <f>3354+1500</f>
        <v>4854</v>
      </c>
      <c r="AB15" s="221"/>
      <c r="AC15" s="221"/>
      <c r="AD15" s="221">
        <f>'Chi xã, TT 2023'!C24</f>
        <v>4228</v>
      </c>
    </row>
    <row r="16" spans="1:32" ht="18.75" customHeight="1">
      <c r="A16" s="219"/>
      <c r="B16" s="220" t="s">
        <v>145</v>
      </c>
      <c r="C16" s="218">
        <f t="shared" si="5"/>
        <v>1582</v>
      </c>
      <c r="D16" s="218">
        <f t="shared" si="6"/>
        <v>0</v>
      </c>
      <c r="E16" s="221"/>
      <c r="F16" s="221"/>
      <c r="G16" s="221"/>
      <c r="H16" s="221"/>
      <c r="I16" s="221"/>
      <c r="J16" s="221"/>
      <c r="K16" s="221"/>
      <c r="L16" s="221"/>
      <c r="M16" s="221"/>
      <c r="N16" s="221"/>
      <c r="O16" s="221"/>
      <c r="P16" s="221"/>
      <c r="Q16" s="221"/>
      <c r="R16" s="223"/>
      <c r="S16" s="221"/>
      <c r="T16" s="221"/>
      <c r="U16" s="221"/>
      <c r="V16" s="221"/>
      <c r="W16" s="221"/>
      <c r="X16" s="221"/>
      <c r="Y16" s="221"/>
      <c r="Z16" s="221"/>
      <c r="AA16" s="221"/>
      <c r="AB16" s="221"/>
      <c r="AC16" s="221"/>
      <c r="AD16" s="221">
        <v>1582</v>
      </c>
    </row>
    <row r="17" spans="1:30" ht="18.75" customHeight="1">
      <c r="A17" s="219"/>
      <c r="B17" s="220" t="s">
        <v>264</v>
      </c>
      <c r="C17" s="218">
        <f t="shared" si="5"/>
        <v>1500</v>
      </c>
      <c r="D17" s="218">
        <f t="shared" si="6"/>
        <v>1500</v>
      </c>
      <c r="E17" s="221"/>
      <c r="F17" s="221"/>
      <c r="G17" s="221"/>
      <c r="H17" s="221"/>
      <c r="I17" s="221"/>
      <c r="J17" s="221"/>
      <c r="K17" s="221"/>
      <c r="L17" s="221"/>
      <c r="M17" s="221"/>
      <c r="N17" s="221"/>
      <c r="O17" s="221"/>
      <c r="P17" s="221"/>
      <c r="Q17" s="221"/>
      <c r="R17" s="223"/>
      <c r="S17" s="221"/>
      <c r="T17" s="221"/>
      <c r="U17" s="221"/>
      <c r="V17" s="221"/>
      <c r="W17" s="221"/>
      <c r="X17" s="221"/>
      <c r="Y17" s="221"/>
      <c r="Z17" s="221"/>
      <c r="AA17" s="221">
        <v>1500</v>
      </c>
      <c r="AB17" s="221"/>
      <c r="AC17" s="221"/>
      <c r="AD17" s="221"/>
    </row>
    <row r="18" spans="1:30" ht="18.75" customHeight="1">
      <c r="A18" s="219"/>
      <c r="B18" s="220" t="s">
        <v>191</v>
      </c>
      <c r="C18" s="218">
        <f t="shared" si="5"/>
        <v>3469</v>
      </c>
      <c r="D18" s="218">
        <f t="shared" si="6"/>
        <v>2320</v>
      </c>
      <c r="E18" s="221"/>
      <c r="F18" s="221"/>
      <c r="G18" s="221"/>
      <c r="H18" s="221"/>
      <c r="I18" s="221"/>
      <c r="J18" s="221"/>
      <c r="K18" s="221"/>
      <c r="L18" s="221"/>
      <c r="M18" s="221"/>
      <c r="N18" s="221"/>
      <c r="O18" s="221"/>
      <c r="P18" s="221"/>
      <c r="Q18" s="221"/>
      <c r="R18" s="223"/>
      <c r="S18" s="221"/>
      <c r="T18" s="221"/>
      <c r="U18" s="221"/>
      <c r="V18" s="221"/>
      <c r="W18" s="221"/>
      <c r="X18" s="221"/>
      <c r="Y18" s="221"/>
      <c r="Z18" s="221"/>
      <c r="AA18" s="221">
        <v>2320</v>
      </c>
      <c r="AB18" s="221"/>
      <c r="AC18" s="221"/>
      <c r="AD18" s="221">
        <v>1149</v>
      </c>
    </row>
    <row r="19" spans="1:30" ht="18.75" customHeight="1">
      <c r="A19" s="219">
        <v>2</v>
      </c>
      <c r="B19" s="220" t="s">
        <v>74</v>
      </c>
      <c r="C19" s="218">
        <f t="shared" si="5"/>
        <v>3299</v>
      </c>
      <c r="D19" s="218">
        <f t="shared" si="6"/>
        <v>1432</v>
      </c>
      <c r="E19" s="221"/>
      <c r="F19" s="221"/>
      <c r="G19" s="221"/>
      <c r="H19" s="221"/>
      <c r="I19" s="221"/>
      <c r="J19" s="221"/>
      <c r="K19" s="221"/>
      <c r="L19" s="221"/>
      <c r="M19" s="221"/>
      <c r="N19" s="221"/>
      <c r="O19" s="221"/>
      <c r="P19" s="221"/>
      <c r="Q19" s="221"/>
      <c r="R19" s="223"/>
      <c r="S19" s="221"/>
      <c r="T19" s="221"/>
      <c r="U19" s="221"/>
      <c r="V19" s="221"/>
      <c r="W19" s="221"/>
      <c r="X19" s="221"/>
      <c r="Y19" s="221"/>
      <c r="Z19" s="221">
        <f>1717-285</f>
        <v>1432</v>
      </c>
      <c r="AA19" s="221"/>
      <c r="AB19" s="221"/>
      <c r="AC19" s="221"/>
      <c r="AD19" s="221">
        <f>'Chi xã, TT 2023'!C28</f>
        <v>1867</v>
      </c>
    </row>
    <row r="20" spans="1:30" ht="18.75" customHeight="1">
      <c r="A20" s="219"/>
      <c r="B20" s="220" t="s">
        <v>262</v>
      </c>
      <c r="C20" s="218">
        <f t="shared" si="5"/>
        <v>1582</v>
      </c>
      <c r="D20" s="218">
        <f t="shared" si="6"/>
        <v>0</v>
      </c>
      <c r="E20" s="221"/>
      <c r="F20" s="221"/>
      <c r="G20" s="221"/>
      <c r="H20" s="221"/>
      <c r="I20" s="221"/>
      <c r="J20" s="221"/>
      <c r="K20" s="221"/>
      <c r="L20" s="221"/>
      <c r="M20" s="221"/>
      <c r="N20" s="221"/>
      <c r="O20" s="221"/>
      <c r="P20" s="221"/>
      <c r="Q20" s="221"/>
      <c r="R20" s="223"/>
      <c r="S20" s="221"/>
      <c r="T20" s="221"/>
      <c r="U20" s="221"/>
      <c r="V20" s="221"/>
      <c r="W20" s="221"/>
      <c r="X20" s="221"/>
      <c r="Y20" s="221"/>
      <c r="Z20" s="221"/>
      <c r="AA20" s="221"/>
      <c r="AB20" s="221"/>
      <c r="AC20" s="221"/>
      <c r="AD20" s="221">
        <v>1582</v>
      </c>
    </row>
    <row r="21" spans="1:30" ht="18.75" customHeight="1">
      <c r="A21" s="219">
        <v>3</v>
      </c>
      <c r="B21" s="220" t="s">
        <v>205</v>
      </c>
      <c r="C21" s="218">
        <f>D21+AD21</f>
        <v>424405</v>
      </c>
      <c r="D21" s="218">
        <f>D22+D33</f>
        <v>423405</v>
      </c>
      <c r="E21" s="221">
        <f>E22+E33</f>
        <v>50</v>
      </c>
      <c r="F21" s="221">
        <f t="shared" ref="F21:AC21" si="7">F22+F33</f>
        <v>15</v>
      </c>
      <c r="G21" s="221">
        <f t="shared" si="7"/>
        <v>40</v>
      </c>
      <c r="H21" s="221">
        <f t="shared" si="7"/>
        <v>30</v>
      </c>
      <c r="I21" s="221">
        <f t="shared" si="7"/>
        <v>0</v>
      </c>
      <c r="J21" s="221">
        <f t="shared" si="7"/>
        <v>15</v>
      </c>
      <c r="K21" s="221">
        <f t="shared" si="7"/>
        <v>0</v>
      </c>
      <c r="L21" s="221">
        <f t="shared" si="7"/>
        <v>0</v>
      </c>
      <c r="M21" s="221">
        <f t="shared" si="7"/>
        <v>0</v>
      </c>
      <c r="N21" s="221">
        <f t="shared" si="7"/>
        <v>0</v>
      </c>
      <c r="O21" s="221">
        <f t="shared" si="7"/>
        <v>0</v>
      </c>
      <c r="P21" s="221">
        <f t="shared" si="7"/>
        <v>0</v>
      </c>
      <c r="Q21" s="221">
        <f t="shared" si="7"/>
        <v>0</v>
      </c>
      <c r="R21" s="221">
        <f t="shared" si="7"/>
        <v>0</v>
      </c>
      <c r="S21" s="221">
        <f t="shared" si="7"/>
        <v>419005</v>
      </c>
      <c r="T21" s="221">
        <f t="shared" si="7"/>
        <v>926</v>
      </c>
      <c r="U21" s="221">
        <f t="shared" si="7"/>
        <v>3324</v>
      </c>
      <c r="V21" s="221">
        <f t="shared" si="7"/>
        <v>0</v>
      </c>
      <c r="W21" s="221">
        <f t="shared" si="7"/>
        <v>0</v>
      </c>
      <c r="X21" s="221">
        <f t="shared" si="7"/>
        <v>0</v>
      </c>
      <c r="Y21" s="221">
        <f t="shared" si="7"/>
        <v>0</v>
      </c>
      <c r="Z21" s="221">
        <f t="shared" si="7"/>
        <v>0</v>
      </c>
      <c r="AA21" s="221">
        <f t="shared" si="7"/>
        <v>0</v>
      </c>
      <c r="AB21" s="221">
        <f t="shared" si="7"/>
        <v>0</v>
      </c>
      <c r="AC21" s="221">
        <f t="shared" si="7"/>
        <v>0</v>
      </c>
      <c r="AD21" s="221">
        <f>'Chi xã, TT 2023'!C30</f>
        <v>1000</v>
      </c>
    </row>
    <row r="22" spans="1:30" ht="18.75" customHeight="1">
      <c r="A22" s="219" t="s">
        <v>28</v>
      </c>
      <c r="B22" s="220" t="s">
        <v>75</v>
      </c>
      <c r="C22" s="218">
        <f t="shared" ref="C22:C42" si="8">D22+AD22</f>
        <v>419005</v>
      </c>
      <c r="D22" s="218">
        <f t="shared" ref="D22:D26" si="9">SUM(E22:AC22)</f>
        <v>419005</v>
      </c>
      <c r="E22" s="221"/>
      <c r="F22" s="221"/>
      <c r="G22" s="221"/>
      <c r="H22" s="221"/>
      <c r="I22" s="221"/>
      <c r="J22" s="221"/>
      <c r="K22" s="221"/>
      <c r="L22" s="221"/>
      <c r="M22" s="221"/>
      <c r="N22" s="221"/>
      <c r="O22" s="221"/>
      <c r="P22" s="221"/>
      <c r="Q22" s="221"/>
      <c r="R22" s="224"/>
      <c r="S22" s="221">
        <f>423594-S82</f>
        <v>419005</v>
      </c>
      <c r="T22" s="221"/>
      <c r="U22" s="221"/>
      <c r="V22" s="221"/>
      <c r="W22" s="221"/>
      <c r="X22" s="221"/>
      <c r="Y22" s="221"/>
      <c r="Z22" s="221"/>
      <c r="AA22" s="221"/>
      <c r="AB22" s="221"/>
      <c r="AC22" s="221"/>
      <c r="AD22" s="221"/>
    </row>
    <row r="23" spans="1:30" ht="18.75" customHeight="1">
      <c r="A23" s="219"/>
      <c r="B23" s="221" t="s">
        <v>207</v>
      </c>
      <c r="C23" s="218">
        <f t="shared" si="8"/>
        <v>10557</v>
      </c>
      <c r="D23" s="218">
        <f t="shared" si="9"/>
        <v>10557</v>
      </c>
      <c r="E23" s="221"/>
      <c r="F23" s="221"/>
      <c r="G23" s="221"/>
      <c r="H23" s="221"/>
      <c r="I23" s="221"/>
      <c r="J23" s="221"/>
      <c r="K23" s="221"/>
      <c r="L23" s="221"/>
      <c r="M23" s="221"/>
      <c r="N23" s="221"/>
      <c r="O23" s="221"/>
      <c r="P23" s="221"/>
      <c r="Q23" s="221"/>
      <c r="R23" s="224"/>
      <c r="S23" s="221">
        <f>+S24+S25+S26</f>
        <v>10557</v>
      </c>
      <c r="T23" s="221"/>
      <c r="U23" s="221"/>
      <c r="V23" s="221"/>
      <c r="W23" s="221"/>
      <c r="X23" s="221"/>
      <c r="Y23" s="221"/>
      <c r="Z23" s="221"/>
      <c r="AA23" s="221"/>
      <c r="AB23" s="221"/>
      <c r="AC23" s="221"/>
      <c r="AD23" s="221"/>
    </row>
    <row r="24" spans="1:30" ht="18.75" customHeight="1">
      <c r="A24" s="219"/>
      <c r="B24" s="220" t="s">
        <v>131</v>
      </c>
      <c r="C24" s="218">
        <f>D24+AD24</f>
        <v>7334</v>
      </c>
      <c r="D24" s="218">
        <f t="shared" si="9"/>
        <v>7334</v>
      </c>
      <c r="E24" s="221"/>
      <c r="F24" s="221"/>
      <c r="G24" s="221"/>
      <c r="H24" s="221"/>
      <c r="I24" s="221"/>
      <c r="J24" s="221"/>
      <c r="K24" s="221"/>
      <c r="L24" s="221"/>
      <c r="M24" s="221"/>
      <c r="N24" s="221"/>
      <c r="O24" s="221"/>
      <c r="P24" s="221"/>
      <c r="Q24" s="221"/>
      <c r="R24" s="224"/>
      <c r="S24" s="221">
        <v>7334</v>
      </c>
      <c r="T24" s="221"/>
      <c r="U24" s="221"/>
      <c r="V24" s="221"/>
      <c r="W24" s="221"/>
      <c r="X24" s="221"/>
      <c r="Y24" s="221"/>
      <c r="Z24" s="221"/>
      <c r="AA24" s="221"/>
      <c r="AB24" s="221"/>
      <c r="AC24" s="221"/>
      <c r="AD24" s="221"/>
    </row>
    <row r="25" spans="1:30" ht="33" customHeight="1">
      <c r="A25" s="219"/>
      <c r="B25" s="222" t="s">
        <v>133</v>
      </c>
      <c r="C25" s="218">
        <f>D25+AD25</f>
        <v>2117</v>
      </c>
      <c r="D25" s="218">
        <f t="shared" si="9"/>
        <v>2117</v>
      </c>
      <c r="E25" s="221"/>
      <c r="F25" s="221"/>
      <c r="G25" s="221"/>
      <c r="H25" s="221"/>
      <c r="I25" s="221"/>
      <c r="J25" s="221"/>
      <c r="K25" s="221"/>
      <c r="L25" s="221"/>
      <c r="M25" s="221"/>
      <c r="N25" s="221"/>
      <c r="O25" s="221"/>
      <c r="P25" s="221"/>
      <c r="Q25" s="221"/>
      <c r="R25" s="224"/>
      <c r="S25" s="221">
        <v>2117</v>
      </c>
      <c r="T25" s="221"/>
      <c r="U25" s="221"/>
      <c r="V25" s="221"/>
      <c r="W25" s="221"/>
      <c r="X25" s="221"/>
      <c r="Y25" s="221"/>
      <c r="Z25" s="221"/>
      <c r="AA25" s="221"/>
      <c r="AB25" s="221"/>
      <c r="AC25" s="221"/>
      <c r="AD25" s="221"/>
    </row>
    <row r="26" spans="1:30" ht="33" customHeight="1">
      <c r="A26" s="219"/>
      <c r="B26" s="222" t="s">
        <v>132</v>
      </c>
      <c r="C26" s="218">
        <f>D26+AD26</f>
        <v>1106</v>
      </c>
      <c r="D26" s="218">
        <f t="shared" si="9"/>
        <v>1106</v>
      </c>
      <c r="E26" s="221"/>
      <c r="F26" s="221"/>
      <c r="G26" s="221"/>
      <c r="H26" s="221"/>
      <c r="I26" s="221"/>
      <c r="J26" s="221"/>
      <c r="K26" s="221"/>
      <c r="L26" s="221"/>
      <c r="M26" s="221"/>
      <c r="N26" s="221"/>
      <c r="O26" s="221"/>
      <c r="P26" s="221"/>
      <c r="Q26" s="221"/>
      <c r="R26" s="224"/>
      <c r="S26" s="221">
        <v>1106</v>
      </c>
      <c r="T26" s="221"/>
      <c r="U26" s="221"/>
      <c r="V26" s="221"/>
      <c r="W26" s="221"/>
      <c r="X26" s="221"/>
      <c r="Y26" s="221"/>
      <c r="Z26" s="221"/>
      <c r="AA26" s="221"/>
      <c r="AB26" s="221"/>
      <c r="AC26" s="221"/>
      <c r="AD26" s="221"/>
    </row>
    <row r="27" spans="1:30" ht="17.25" customHeight="1">
      <c r="A27" s="219"/>
      <c r="B27" s="221" t="s">
        <v>208</v>
      </c>
      <c r="C27" s="218">
        <f>D27+AD27</f>
        <v>29712</v>
      </c>
      <c r="D27" s="218">
        <f>SUM(E27:AC27)</f>
        <v>29712</v>
      </c>
      <c r="E27" s="221"/>
      <c r="F27" s="221"/>
      <c r="G27" s="221"/>
      <c r="H27" s="221"/>
      <c r="I27" s="221"/>
      <c r="J27" s="221"/>
      <c r="K27" s="221"/>
      <c r="L27" s="221"/>
      <c r="M27" s="221"/>
      <c r="N27" s="221"/>
      <c r="O27" s="221"/>
      <c r="P27" s="221"/>
      <c r="Q27" s="221"/>
      <c r="R27" s="224"/>
      <c r="S27" s="221">
        <f>S28+S29</f>
        <v>29712</v>
      </c>
      <c r="T27" s="221"/>
      <c r="U27" s="221"/>
      <c r="V27" s="221"/>
      <c r="W27" s="221"/>
      <c r="X27" s="221"/>
      <c r="Y27" s="221"/>
      <c r="Z27" s="221"/>
      <c r="AA27" s="221"/>
      <c r="AB27" s="221"/>
      <c r="AC27" s="221"/>
      <c r="AD27" s="221"/>
    </row>
    <row r="28" spans="1:30" ht="17.25" customHeight="1">
      <c r="A28" s="219"/>
      <c r="B28" s="221" t="s">
        <v>134</v>
      </c>
      <c r="C28" s="218">
        <f t="shared" si="8"/>
        <v>28077</v>
      </c>
      <c r="D28" s="218">
        <f t="shared" ref="D28:D42" si="10">SUM(E28:AC28)</f>
        <v>28077</v>
      </c>
      <c r="E28" s="221"/>
      <c r="F28" s="221"/>
      <c r="G28" s="221"/>
      <c r="H28" s="221"/>
      <c r="I28" s="221"/>
      <c r="J28" s="221"/>
      <c r="K28" s="221"/>
      <c r="L28" s="221"/>
      <c r="M28" s="221"/>
      <c r="N28" s="221"/>
      <c r="O28" s="221"/>
      <c r="P28" s="221"/>
      <c r="Q28" s="221"/>
      <c r="R28" s="224"/>
      <c r="S28" s="221">
        <v>28077</v>
      </c>
      <c r="T28" s="221"/>
      <c r="U28" s="221"/>
      <c r="V28" s="221"/>
      <c r="W28" s="221"/>
      <c r="X28" s="221"/>
      <c r="Y28" s="221"/>
      <c r="Z28" s="221"/>
      <c r="AA28" s="221"/>
      <c r="AB28" s="221"/>
      <c r="AC28" s="221"/>
      <c r="AD28" s="221"/>
    </row>
    <row r="29" spans="1:30" ht="17.25" customHeight="1">
      <c r="A29" s="219"/>
      <c r="B29" s="221" t="s">
        <v>135</v>
      </c>
      <c r="C29" s="218">
        <f t="shared" si="8"/>
        <v>1635</v>
      </c>
      <c r="D29" s="218">
        <f t="shared" si="10"/>
        <v>1635</v>
      </c>
      <c r="E29" s="221"/>
      <c r="F29" s="221"/>
      <c r="G29" s="221"/>
      <c r="H29" s="221"/>
      <c r="I29" s="221"/>
      <c r="J29" s="221"/>
      <c r="K29" s="221"/>
      <c r="L29" s="221"/>
      <c r="M29" s="221"/>
      <c r="N29" s="221"/>
      <c r="O29" s="221"/>
      <c r="P29" s="221"/>
      <c r="Q29" s="221"/>
      <c r="R29" s="224"/>
      <c r="S29" s="221">
        <v>1635</v>
      </c>
      <c r="T29" s="221"/>
      <c r="U29" s="221"/>
      <c r="V29" s="221"/>
      <c r="W29" s="221"/>
      <c r="X29" s="221"/>
      <c r="Y29" s="221"/>
      <c r="Z29" s="221"/>
      <c r="AA29" s="221"/>
      <c r="AB29" s="221"/>
      <c r="AC29" s="221"/>
      <c r="AD29" s="221"/>
    </row>
    <row r="30" spans="1:30" ht="17.25" customHeight="1">
      <c r="A30" s="219"/>
      <c r="B30" s="220" t="s">
        <v>209</v>
      </c>
      <c r="C30" s="218">
        <f>D30+AD30</f>
        <v>27294</v>
      </c>
      <c r="D30" s="218">
        <f>SUM(E30:AC30)</f>
        <v>27294</v>
      </c>
      <c r="E30" s="221"/>
      <c r="F30" s="221"/>
      <c r="G30" s="221"/>
      <c r="H30" s="221"/>
      <c r="I30" s="221"/>
      <c r="J30" s="221"/>
      <c r="K30" s="221"/>
      <c r="L30" s="221"/>
      <c r="M30" s="221"/>
      <c r="N30" s="221"/>
      <c r="O30" s="221"/>
      <c r="P30" s="221"/>
      <c r="Q30" s="221"/>
      <c r="R30" s="224"/>
      <c r="S30" s="221">
        <v>27294</v>
      </c>
      <c r="T30" s="221"/>
      <c r="U30" s="221"/>
      <c r="V30" s="221"/>
      <c r="W30" s="221"/>
      <c r="X30" s="221"/>
      <c r="Y30" s="221"/>
      <c r="Z30" s="221"/>
      <c r="AA30" s="221"/>
      <c r="AB30" s="221"/>
      <c r="AC30" s="221"/>
      <c r="AD30" s="221"/>
    </row>
    <row r="31" spans="1:30" ht="30.75" customHeight="1">
      <c r="A31" s="219"/>
      <c r="B31" s="222" t="s">
        <v>210</v>
      </c>
      <c r="C31" s="218">
        <f>D31+AD31</f>
        <v>18</v>
      </c>
      <c r="D31" s="218">
        <f>SUM(E31:AC31)</f>
        <v>18</v>
      </c>
      <c r="E31" s="221"/>
      <c r="F31" s="221"/>
      <c r="G31" s="221"/>
      <c r="H31" s="221"/>
      <c r="I31" s="221"/>
      <c r="J31" s="221"/>
      <c r="K31" s="221"/>
      <c r="L31" s="221"/>
      <c r="M31" s="221"/>
      <c r="N31" s="221"/>
      <c r="O31" s="221"/>
      <c r="P31" s="221"/>
      <c r="Q31" s="221"/>
      <c r="R31" s="224"/>
      <c r="S31" s="221">
        <v>18</v>
      </c>
      <c r="T31" s="221"/>
      <c r="U31" s="221"/>
      <c r="V31" s="221"/>
      <c r="W31" s="221"/>
      <c r="X31" s="221"/>
      <c r="Y31" s="221"/>
      <c r="Z31" s="221"/>
      <c r="AA31" s="221"/>
      <c r="AB31" s="221"/>
      <c r="AC31" s="221"/>
      <c r="AD31" s="221"/>
    </row>
    <row r="32" spans="1:30" ht="30.75" customHeight="1">
      <c r="A32" s="219"/>
      <c r="B32" s="222" t="s">
        <v>211</v>
      </c>
      <c r="C32" s="218">
        <f t="shared" si="8"/>
        <v>4758</v>
      </c>
      <c r="D32" s="218">
        <f>SUM(E32:AC32)</f>
        <v>4758</v>
      </c>
      <c r="E32" s="221"/>
      <c r="F32" s="221"/>
      <c r="G32" s="221"/>
      <c r="H32" s="221"/>
      <c r="I32" s="221"/>
      <c r="J32" s="221"/>
      <c r="K32" s="221"/>
      <c r="L32" s="221"/>
      <c r="M32" s="221"/>
      <c r="N32" s="221"/>
      <c r="O32" s="221"/>
      <c r="P32" s="221"/>
      <c r="Q32" s="221"/>
      <c r="R32" s="224"/>
      <c r="S32" s="221">
        <v>4758</v>
      </c>
      <c r="T32" s="221"/>
      <c r="U32" s="221"/>
      <c r="V32" s="221"/>
      <c r="W32" s="221"/>
      <c r="X32" s="221"/>
      <c r="Y32" s="221"/>
      <c r="Z32" s="221"/>
      <c r="AA32" s="221"/>
      <c r="AB32" s="221"/>
      <c r="AC32" s="221"/>
      <c r="AD32" s="221"/>
    </row>
    <row r="33" spans="1:30" ht="23.25" customHeight="1">
      <c r="A33" s="219" t="s">
        <v>29</v>
      </c>
      <c r="B33" s="220" t="s">
        <v>76</v>
      </c>
      <c r="C33" s="218">
        <f>D33+AD33</f>
        <v>5400</v>
      </c>
      <c r="D33" s="218">
        <f t="shared" si="10"/>
        <v>4400</v>
      </c>
      <c r="E33" s="221">
        <v>50</v>
      </c>
      <c r="F33" s="221">
        <v>15</v>
      </c>
      <c r="G33" s="221">
        <v>40</v>
      </c>
      <c r="H33" s="221">
        <v>30</v>
      </c>
      <c r="I33" s="221">
        <f t="shared" ref="I33:AC33" si="11">SUM(I34:I35)</f>
        <v>0</v>
      </c>
      <c r="J33" s="221">
        <v>15</v>
      </c>
      <c r="K33" s="221">
        <f t="shared" si="11"/>
        <v>0</v>
      </c>
      <c r="L33" s="221">
        <f t="shared" si="11"/>
        <v>0</v>
      </c>
      <c r="M33" s="221">
        <f t="shared" si="11"/>
        <v>0</v>
      </c>
      <c r="N33" s="221">
        <f t="shared" si="11"/>
        <v>0</v>
      </c>
      <c r="O33" s="221">
        <f t="shared" si="11"/>
        <v>0</v>
      </c>
      <c r="P33" s="221">
        <f t="shared" si="11"/>
        <v>0</v>
      </c>
      <c r="Q33" s="221">
        <f t="shared" si="11"/>
        <v>0</v>
      </c>
      <c r="R33" s="221">
        <f t="shared" si="11"/>
        <v>0</v>
      </c>
      <c r="S33" s="221">
        <f t="shared" si="11"/>
        <v>0</v>
      </c>
      <c r="T33" s="221">
        <f>226+700</f>
        <v>926</v>
      </c>
      <c r="U33" s="221">
        <f>22+2262+40+1000</f>
        <v>3324</v>
      </c>
      <c r="V33" s="221">
        <f t="shared" si="11"/>
        <v>0</v>
      </c>
      <c r="W33" s="221">
        <f t="shared" si="11"/>
        <v>0</v>
      </c>
      <c r="X33" s="221">
        <f t="shared" si="11"/>
        <v>0</v>
      </c>
      <c r="Y33" s="221">
        <f t="shared" si="11"/>
        <v>0</v>
      </c>
      <c r="Z33" s="221">
        <f t="shared" si="11"/>
        <v>0</v>
      </c>
      <c r="AA33" s="221">
        <f t="shared" si="11"/>
        <v>0</v>
      </c>
      <c r="AB33" s="221">
        <f t="shared" si="11"/>
        <v>0</v>
      </c>
      <c r="AC33" s="221">
        <f t="shared" si="11"/>
        <v>0</v>
      </c>
      <c r="AD33" s="221">
        <v>1000</v>
      </c>
    </row>
    <row r="34" spans="1:30" ht="33" customHeight="1">
      <c r="A34" s="219"/>
      <c r="B34" s="222" t="s">
        <v>212</v>
      </c>
      <c r="C34" s="218">
        <f>D34+AD34</f>
        <v>11</v>
      </c>
      <c r="D34" s="218">
        <f t="shared" si="10"/>
        <v>11</v>
      </c>
      <c r="E34" s="221"/>
      <c r="F34" s="221"/>
      <c r="G34" s="221"/>
      <c r="H34" s="221"/>
      <c r="I34" s="221"/>
      <c r="J34" s="221"/>
      <c r="K34" s="221"/>
      <c r="L34" s="221"/>
      <c r="M34" s="221"/>
      <c r="N34" s="221"/>
      <c r="O34" s="221"/>
      <c r="P34" s="221"/>
      <c r="Q34" s="221"/>
      <c r="R34" s="224"/>
      <c r="S34" s="221"/>
      <c r="T34" s="221"/>
      <c r="U34" s="221">
        <v>11</v>
      </c>
      <c r="V34" s="221"/>
      <c r="W34" s="221"/>
      <c r="X34" s="221"/>
      <c r="Y34" s="221"/>
      <c r="Z34" s="221"/>
      <c r="AA34" s="221"/>
      <c r="AB34" s="221"/>
      <c r="AC34" s="221"/>
      <c r="AD34" s="221"/>
    </row>
    <row r="35" spans="1:30" ht="30.75" customHeight="1">
      <c r="A35" s="219"/>
      <c r="B35" s="222" t="s">
        <v>211</v>
      </c>
      <c r="C35" s="218">
        <f>D35+AD35</f>
        <v>11</v>
      </c>
      <c r="D35" s="218">
        <f>SUM(E35:AC35)</f>
        <v>11</v>
      </c>
      <c r="E35" s="221"/>
      <c r="F35" s="221"/>
      <c r="G35" s="221"/>
      <c r="H35" s="221"/>
      <c r="I35" s="221"/>
      <c r="J35" s="221"/>
      <c r="K35" s="221"/>
      <c r="L35" s="221"/>
      <c r="M35" s="221"/>
      <c r="N35" s="221"/>
      <c r="O35" s="221"/>
      <c r="P35" s="221"/>
      <c r="Q35" s="221"/>
      <c r="R35" s="224"/>
      <c r="S35" s="221"/>
      <c r="T35" s="221"/>
      <c r="U35" s="221">
        <v>11</v>
      </c>
      <c r="V35" s="221"/>
      <c r="W35" s="221"/>
      <c r="X35" s="221"/>
      <c r="Y35" s="221"/>
      <c r="Z35" s="221"/>
      <c r="AA35" s="221"/>
      <c r="AB35" s="221"/>
      <c r="AC35" s="221"/>
      <c r="AD35" s="221"/>
    </row>
    <row r="36" spans="1:30" ht="17.25" customHeight="1">
      <c r="A36" s="219"/>
      <c r="B36" s="220" t="s">
        <v>41</v>
      </c>
      <c r="C36" s="221">
        <f>D36+AD36</f>
        <v>1000</v>
      </c>
      <c r="D36" s="221">
        <f>SUM(E36:AC36)</f>
        <v>1000</v>
      </c>
      <c r="E36" s="221"/>
      <c r="F36" s="221"/>
      <c r="G36" s="221"/>
      <c r="H36" s="221"/>
      <c r="I36" s="221"/>
      <c r="J36" s="221"/>
      <c r="K36" s="221"/>
      <c r="L36" s="221"/>
      <c r="M36" s="221"/>
      <c r="N36" s="221"/>
      <c r="O36" s="221"/>
      <c r="P36" s="221"/>
      <c r="Q36" s="221"/>
      <c r="R36" s="224"/>
      <c r="S36" s="221"/>
      <c r="T36" s="221"/>
      <c r="U36" s="221">
        <v>1000</v>
      </c>
      <c r="V36" s="221"/>
      <c r="W36" s="221"/>
      <c r="X36" s="221"/>
      <c r="Y36" s="221"/>
      <c r="Z36" s="221"/>
      <c r="AA36" s="221"/>
      <c r="AB36" s="221"/>
      <c r="AC36" s="221"/>
      <c r="AD36" s="221"/>
    </row>
    <row r="37" spans="1:30" ht="17.25" customHeight="1">
      <c r="A37" s="219">
        <v>4</v>
      </c>
      <c r="B37" s="220" t="s">
        <v>77</v>
      </c>
      <c r="C37" s="218">
        <f>D37+AD37</f>
        <v>600</v>
      </c>
      <c r="D37" s="218">
        <f>SUM(E37:AC37)</f>
        <v>600</v>
      </c>
      <c r="E37" s="221"/>
      <c r="F37" s="221"/>
      <c r="G37" s="221"/>
      <c r="H37" s="221"/>
      <c r="I37" s="221"/>
      <c r="J37" s="221"/>
      <c r="K37" s="221"/>
      <c r="L37" s="221"/>
      <c r="M37" s="221">
        <v>600</v>
      </c>
      <c r="N37" s="221"/>
      <c r="O37" s="221"/>
      <c r="P37" s="221"/>
      <c r="Q37" s="221"/>
      <c r="R37" s="224"/>
      <c r="S37" s="221"/>
      <c r="T37" s="221"/>
      <c r="U37" s="221"/>
      <c r="V37" s="221"/>
      <c r="W37" s="221"/>
      <c r="X37" s="221"/>
      <c r="Y37" s="221"/>
      <c r="Z37" s="221"/>
      <c r="AA37" s="221"/>
      <c r="AB37" s="221"/>
      <c r="AC37" s="221"/>
      <c r="AD37" s="221"/>
    </row>
    <row r="38" spans="1:30" ht="17.25" customHeight="1">
      <c r="A38" s="219">
        <v>5</v>
      </c>
      <c r="B38" s="220" t="s">
        <v>78</v>
      </c>
      <c r="C38" s="218">
        <f t="shared" si="8"/>
        <v>200</v>
      </c>
      <c r="D38" s="218">
        <f t="shared" si="10"/>
        <v>200</v>
      </c>
      <c r="E38" s="221">
        <v>200</v>
      </c>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row>
    <row r="39" spans="1:30" ht="17.25" customHeight="1">
      <c r="A39" s="219">
        <v>6</v>
      </c>
      <c r="B39" s="220" t="s">
        <v>79</v>
      </c>
      <c r="C39" s="218">
        <f t="shared" si="8"/>
        <v>3686</v>
      </c>
      <c r="D39" s="218">
        <f t="shared" si="10"/>
        <v>1786</v>
      </c>
      <c r="E39" s="221"/>
      <c r="F39" s="221"/>
      <c r="G39" s="221"/>
      <c r="H39" s="221"/>
      <c r="I39" s="221"/>
      <c r="J39" s="221"/>
      <c r="K39" s="221"/>
      <c r="L39" s="221"/>
      <c r="M39" s="221"/>
      <c r="N39" s="221"/>
      <c r="O39" s="221"/>
      <c r="P39" s="221"/>
      <c r="Q39" s="221"/>
      <c r="R39" s="224"/>
      <c r="S39" s="221"/>
      <c r="T39" s="221"/>
      <c r="U39" s="221"/>
      <c r="V39" s="221"/>
      <c r="W39" s="221"/>
      <c r="X39" s="221"/>
      <c r="Y39" s="221">
        <f>821+965</f>
        <v>1786</v>
      </c>
      <c r="Z39" s="221"/>
      <c r="AA39" s="221"/>
      <c r="AB39" s="221"/>
      <c r="AC39" s="221"/>
      <c r="AD39" s="221">
        <f>'Chi xã, TT 2023'!C31</f>
        <v>1900</v>
      </c>
    </row>
    <row r="40" spans="1:30" ht="17.25" customHeight="1">
      <c r="A40" s="219">
        <v>7</v>
      </c>
      <c r="B40" s="221" t="s">
        <v>80</v>
      </c>
      <c r="C40" s="218">
        <f t="shared" si="8"/>
        <v>2889</v>
      </c>
      <c r="D40" s="218">
        <f t="shared" si="10"/>
        <v>2604</v>
      </c>
      <c r="E40" s="221"/>
      <c r="F40" s="221"/>
      <c r="G40" s="221"/>
      <c r="H40" s="221"/>
      <c r="I40" s="221"/>
      <c r="J40" s="221"/>
      <c r="K40" s="221"/>
      <c r="L40" s="221"/>
      <c r="M40" s="221"/>
      <c r="N40" s="221"/>
      <c r="O40" s="221"/>
      <c r="P40" s="221"/>
      <c r="Q40" s="221"/>
      <c r="R40" s="224"/>
      <c r="S40" s="221"/>
      <c r="T40" s="221"/>
      <c r="U40" s="221"/>
      <c r="V40" s="221"/>
      <c r="W40" s="221"/>
      <c r="X40" s="221"/>
      <c r="Y40" s="221">
        <f>1794+810</f>
        <v>2604</v>
      </c>
      <c r="Z40" s="221"/>
      <c r="AA40" s="221"/>
      <c r="AB40" s="221"/>
      <c r="AC40" s="221"/>
      <c r="AD40" s="221">
        <f>'Chi xã, TT 2023'!C32</f>
        <v>285</v>
      </c>
    </row>
    <row r="41" spans="1:30" ht="17.25" customHeight="1">
      <c r="A41" s="219">
        <v>8</v>
      </c>
      <c r="B41" s="221" t="s">
        <v>81</v>
      </c>
      <c r="C41" s="218">
        <f t="shared" si="8"/>
        <v>616</v>
      </c>
      <c r="D41" s="218">
        <f t="shared" si="10"/>
        <v>616</v>
      </c>
      <c r="E41" s="221"/>
      <c r="F41" s="221"/>
      <c r="G41" s="221"/>
      <c r="H41" s="221"/>
      <c r="I41" s="221"/>
      <c r="J41" s="221"/>
      <c r="K41" s="221"/>
      <c r="L41" s="221"/>
      <c r="M41" s="221"/>
      <c r="N41" s="221"/>
      <c r="O41" s="221"/>
      <c r="P41" s="221"/>
      <c r="Q41" s="221"/>
      <c r="R41" s="224"/>
      <c r="S41" s="221"/>
      <c r="T41" s="221"/>
      <c r="U41" s="221"/>
      <c r="V41" s="221"/>
      <c r="W41" s="221"/>
      <c r="X41" s="221"/>
      <c r="Y41" s="221">
        <f>231+385</f>
        <v>616</v>
      </c>
      <c r="Z41" s="221"/>
      <c r="AA41" s="221"/>
      <c r="AB41" s="221"/>
      <c r="AC41" s="221"/>
      <c r="AD41" s="221"/>
    </row>
    <row r="42" spans="1:30" ht="17.25" customHeight="1">
      <c r="A42" s="219">
        <v>9</v>
      </c>
      <c r="B42" s="220" t="s">
        <v>82</v>
      </c>
      <c r="C42" s="218">
        <f t="shared" si="8"/>
        <v>4232</v>
      </c>
      <c r="D42" s="218">
        <f t="shared" si="10"/>
        <v>4232</v>
      </c>
      <c r="E42" s="221"/>
      <c r="F42" s="221"/>
      <c r="G42" s="221"/>
      <c r="H42" s="221"/>
      <c r="I42" s="221"/>
      <c r="J42" s="221">
        <f>4000+232</f>
        <v>4232</v>
      </c>
      <c r="K42" s="221"/>
      <c r="L42" s="221"/>
      <c r="M42" s="221"/>
      <c r="N42" s="221"/>
      <c r="O42" s="221"/>
      <c r="P42" s="221"/>
      <c r="Q42" s="221"/>
      <c r="R42" s="224"/>
      <c r="S42" s="221"/>
      <c r="T42" s="221"/>
      <c r="U42" s="221"/>
      <c r="V42" s="221"/>
      <c r="W42" s="221"/>
      <c r="X42" s="221"/>
      <c r="Y42" s="221"/>
      <c r="Z42" s="221"/>
      <c r="AA42" s="221"/>
      <c r="AB42" s="221"/>
      <c r="AC42" s="221"/>
      <c r="AD42" s="221"/>
    </row>
    <row r="43" spans="1:30" ht="17.25" customHeight="1">
      <c r="A43" s="219">
        <v>10</v>
      </c>
      <c r="B43" s="221" t="s">
        <v>83</v>
      </c>
      <c r="C43" s="218">
        <f>C44+C47+C48+C50</f>
        <v>54156</v>
      </c>
      <c r="D43" s="218">
        <f>D44+D47+D48+D50</f>
        <v>52101</v>
      </c>
      <c r="E43" s="221"/>
      <c r="F43" s="221"/>
      <c r="G43" s="221"/>
      <c r="H43" s="221">
        <f>H44+H47+H48+H50</f>
        <v>5074</v>
      </c>
      <c r="I43" s="221"/>
      <c r="J43" s="221">
        <f>J44+J47+J48+J50</f>
        <v>3950</v>
      </c>
      <c r="K43" s="221"/>
      <c r="L43" s="221"/>
      <c r="M43" s="221">
        <f>M44+M47+M48+M50</f>
        <v>933</v>
      </c>
      <c r="N43" s="221"/>
      <c r="O43" s="221"/>
      <c r="P43" s="221"/>
      <c r="Q43" s="221"/>
      <c r="R43" s="221"/>
      <c r="S43" s="221"/>
      <c r="T43" s="221"/>
      <c r="U43" s="221"/>
      <c r="V43" s="221">
        <f>V44+V47+V48+V50</f>
        <v>149</v>
      </c>
      <c r="W43" s="221">
        <f>W44+W47+W48+W50</f>
        <v>6784</v>
      </c>
      <c r="X43" s="221">
        <f>X44+X47+X48+X50</f>
        <v>785</v>
      </c>
      <c r="Y43" s="221"/>
      <c r="Z43" s="221"/>
      <c r="AA43" s="221"/>
      <c r="AB43" s="221">
        <f>AB44+AB47+AB48+AB50</f>
        <v>0</v>
      </c>
      <c r="AC43" s="221">
        <f>AC44+AC47+AC48+AC50</f>
        <v>34426</v>
      </c>
      <c r="AD43" s="221">
        <f>AD44+AD47+AD48+AD50</f>
        <v>2055</v>
      </c>
    </row>
    <row r="44" spans="1:30" ht="17.25" customHeight="1">
      <c r="A44" s="219" t="s">
        <v>34</v>
      </c>
      <c r="B44" s="221" t="s">
        <v>35</v>
      </c>
      <c r="C44" s="218">
        <f t="shared" ref="C44:C80" si="12">D44+AD44</f>
        <v>8574</v>
      </c>
      <c r="D44" s="218">
        <f t="shared" ref="D44:D53" si="13">SUM(E44:AC44)</f>
        <v>8574</v>
      </c>
      <c r="E44" s="221">
        <f t="shared" ref="E44:AA44" si="14">SUM(E45:E46)</f>
        <v>0</v>
      </c>
      <c r="F44" s="221">
        <f t="shared" si="14"/>
        <v>0</v>
      </c>
      <c r="G44" s="221">
        <f t="shared" si="14"/>
        <v>0</v>
      </c>
      <c r="H44" s="221">
        <f>SUM(H45:H46)</f>
        <v>5074</v>
      </c>
      <c r="I44" s="221">
        <f t="shared" si="14"/>
        <v>0</v>
      </c>
      <c r="J44" s="221">
        <f t="shared" si="14"/>
        <v>0</v>
      </c>
      <c r="K44" s="221">
        <f t="shared" si="14"/>
        <v>0</v>
      </c>
      <c r="L44" s="221">
        <f t="shared" si="14"/>
        <v>0</v>
      </c>
      <c r="M44" s="221">
        <f t="shared" si="14"/>
        <v>0</v>
      </c>
      <c r="N44" s="221">
        <f t="shared" si="14"/>
        <v>0</v>
      </c>
      <c r="O44" s="221">
        <f t="shared" si="14"/>
        <v>0</v>
      </c>
      <c r="P44" s="221">
        <f t="shared" si="14"/>
        <v>0</v>
      </c>
      <c r="Q44" s="221">
        <f t="shared" si="14"/>
        <v>0</v>
      </c>
      <c r="R44" s="221">
        <f t="shared" si="14"/>
        <v>0</v>
      </c>
      <c r="S44" s="221">
        <f t="shared" si="14"/>
        <v>0</v>
      </c>
      <c r="T44" s="221">
        <f t="shared" si="14"/>
        <v>0</v>
      </c>
      <c r="U44" s="221">
        <f t="shared" si="14"/>
        <v>0</v>
      </c>
      <c r="V44" s="221">
        <f t="shared" si="14"/>
        <v>0</v>
      </c>
      <c r="W44" s="221">
        <f t="shared" si="14"/>
        <v>3500</v>
      </c>
      <c r="X44" s="221">
        <f t="shared" si="14"/>
        <v>0</v>
      </c>
      <c r="Y44" s="221">
        <f t="shared" si="14"/>
        <v>0</v>
      </c>
      <c r="Z44" s="221">
        <f t="shared" si="14"/>
        <v>0</v>
      </c>
      <c r="AA44" s="221">
        <f t="shared" si="14"/>
        <v>0</v>
      </c>
      <c r="AB44" s="221">
        <f>SUM(AB45:AB46)</f>
        <v>0</v>
      </c>
      <c r="AC44" s="221"/>
      <c r="AD44" s="221"/>
    </row>
    <row r="45" spans="1:30" ht="17.25" customHeight="1">
      <c r="A45" s="219"/>
      <c r="B45" s="221" t="s">
        <v>84</v>
      </c>
      <c r="C45" s="218">
        <f t="shared" si="12"/>
        <v>3500</v>
      </c>
      <c r="D45" s="218">
        <f t="shared" si="13"/>
        <v>3500</v>
      </c>
      <c r="E45" s="221"/>
      <c r="F45" s="221"/>
      <c r="G45" s="221"/>
      <c r="H45" s="221"/>
      <c r="I45" s="221"/>
      <c r="J45" s="221"/>
      <c r="K45" s="221"/>
      <c r="L45" s="221"/>
      <c r="M45" s="221"/>
      <c r="N45" s="221"/>
      <c r="O45" s="221"/>
      <c r="P45" s="221"/>
      <c r="Q45" s="221"/>
      <c r="R45" s="224"/>
      <c r="S45" s="221"/>
      <c r="T45" s="221"/>
      <c r="U45" s="221"/>
      <c r="V45" s="221"/>
      <c r="W45" s="221">
        <v>3500</v>
      </c>
      <c r="X45" s="221"/>
      <c r="Y45" s="221"/>
      <c r="Z45" s="221"/>
      <c r="AA45" s="221"/>
      <c r="AB45" s="221"/>
      <c r="AC45" s="221"/>
      <c r="AD45" s="221"/>
    </row>
    <row r="46" spans="1:30" ht="17.25" customHeight="1">
      <c r="A46" s="219"/>
      <c r="B46" s="221" t="s">
        <v>213</v>
      </c>
      <c r="C46" s="218">
        <f t="shared" si="12"/>
        <v>5074</v>
      </c>
      <c r="D46" s="218">
        <f t="shared" si="13"/>
        <v>5074</v>
      </c>
      <c r="E46" s="221"/>
      <c r="F46" s="221"/>
      <c r="G46" s="221"/>
      <c r="H46" s="221">
        <f>2537*2</f>
        <v>5074</v>
      </c>
      <c r="I46" s="221"/>
      <c r="J46" s="221"/>
      <c r="K46" s="221"/>
      <c r="L46" s="221"/>
      <c r="M46" s="221"/>
      <c r="N46" s="221"/>
      <c r="O46" s="221"/>
      <c r="P46" s="221"/>
      <c r="Q46" s="221"/>
      <c r="R46" s="224"/>
      <c r="S46" s="221"/>
      <c r="T46" s="221"/>
      <c r="U46" s="221"/>
      <c r="V46" s="221"/>
      <c r="W46" s="221"/>
      <c r="X46" s="221"/>
      <c r="Y46" s="221"/>
      <c r="Z46" s="221"/>
      <c r="AA46" s="221"/>
      <c r="AB46" s="221"/>
      <c r="AC46" s="221"/>
      <c r="AD46" s="221"/>
    </row>
    <row r="47" spans="1:30" ht="17.25" customHeight="1">
      <c r="A47" s="219" t="s">
        <v>36</v>
      </c>
      <c r="B47" s="220" t="s">
        <v>85</v>
      </c>
      <c r="C47" s="218">
        <f t="shared" si="12"/>
        <v>0</v>
      </c>
      <c r="D47" s="218">
        <f t="shared" si="13"/>
        <v>0</v>
      </c>
      <c r="E47" s="221"/>
      <c r="F47" s="221"/>
      <c r="G47" s="221"/>
      <c r="H47" s="221"/>
      <c r="I47" s="221"/>
      <c r="J47" s="221"/>
      <c r="K47" s="221"/>
      <c r="L47" s="221"/>
      <c r="M47" s="221"/>
      <c r="N47" s="221"/>
      <c r="O47" s="221"/>
      <c r="P47" s="221"/>
      <c r="Q47" s="221"/>
      <c r="R47" s="224"/>
      <c r="S47" s="221"/>
      <c r="T47" s="221"/>
      <c r="U47" s="221"/>
      <c r="V47" s="221"/>
      <c r="W47" s="221"/>
      <c r="X47" s="221"/>
      <c r="Y47" s="221"/>
      <c r="Z47" s="221"/>
      <c r="AA47" s="221"/>
      <c r="AB47" s="221"/>
      <c r="AC47" s="221"/>
      <c r="AD47" s="221"/>
    </row>
    <row r="48" spans="1:30" ht="17.25" customHeight="1">
      <c r="A48" s="219" t="s">
        <v>37</v>
      </c>
      <c r="B48" s="220" t="s">
        <v>86</v>
      </c>
      <c r="C48" s="218">
        <f t="shared" si="12"/>
        <v>2796</v>
      </c>
      <c r="D48" s="218">
        <f t="shared" si="13"/>
        <v>2796</v>
      </c>
      <c r="E48" s="221"/>
      <c r="F48" s="221"/>
      <c r="G48" s="221"/>
      <c r="H48" s="221"/>
      <c r="I48" s="221"/>
      <c r="J48" s="221"/>
      <c r="K48" s="221"/>
      <c r="L48" s="221"/>
      <c r="M48" s="221"/>
      <c r="N48" s="221"/>
      <c r="O48" s="221"/>
      <c r="P48" s="221"/>
      <c r="Q48" s="221"/>
      <c r="R48" s="224"/>
      <c r="S48" s="221"/>
      <c r="T48" s="221"/>
      <c r="U48" s="221"/>
      <c r="V48" s="221"/>
      <c r="W48" s="221"/>
      <c r="X48" s="221"/>
      <c r="Y48" s="221"/>
      <c r="Z48" s="221"/>
      <c r="AA48" s="221"/>
      <c r="AB48" s="221"/>
      <c r="AC48" s="221">
        <f>AC49</f>
        <v>2796</v>
      </c>
      <c r="AD48" s="221"/>
    </row>
    <row r="49" spans="1:30" ht="17.25" customHeight="1">
      <c r="A49" s="219"/>
      <c r="B49" s="220" t="s">
        <v>38</v>
      </c>
      <c r="C49" s="218">
        <f t="shared" si="12"/>
        <v>2796</v>
      </c>
      <c r="D49" s="218">
        <f t="shared" si="13"/>
        <v>2796</v>
      </c>
      <c r="E49" s="221"/>
      <c r="F49" s="221"/>
      <c r="G49" s="221"/>
      <c r="H49" s="221"/>
      <c r="I49" s="221"/>
      <c r="J49" s="221"/>
      <c r="K49" s="221"/>
      <c r="L49" s="221"/>
      <c r="M49" s="221"/>
      <c r="N49" s="221"/>
      <c r="O49" s="221"/>
      <c r="P49" s="221"/>
      <c r="Q49" s="221"/>
      <c r="R49" s="224"/>
      <c r="S49" s="221"/>
      <c r="T49" s="221"/>
      <c r="U49" s="221"/>
      <c r="V49" s="221"/>
      <c r="W49" s="221"/>
      <c r="X49" s="221"/>
      <c r="Y49" s="221"/>
      <c r="Z49" s="221"/>
      <c r="AA49" s="221"/>
      <c r="AB49" s="221"/>
      <c r="AC49" s="221">
        <v>2796</v>
      </c>
      <c r="AD49" s="221"/>
    </row>
    <row r="50" spans="1:30" ht="17.25" customHeight="1">
      <c r="A50" s="219" t="s">
        <v>39</v>
      </c>
      <c r="B50" s="220" t="s">
        <v>40</v>
      </c>
      <c r="C50" s="218">
        <f t="shared" si="12"/>
        <v>42786</v>
      </c>
      <c r="D50" s="218">
        <f>SUM(E50:AC50)</f>
        <v>40731</v>
      </c>
      <c r="E50" s="221"/>
      <c r="F50" s="221"/>
      <c r="G50" s="221"/>
      <c r="H50" s="221"/>
      <c r="I50" s="221"/>
      <c r="J50" s="221">
        <f>J52+J53</f>
        <v>3950</v>
      </c>
      <c r="K50" s="221"/>
      <c r="L50" s="221"/>
      <c r="M50" s="221">
        <f>M51+33</f>
        <v>933</v>
      </c>
      <c r="N50" s="221"/>
      <c r="O50" s="221"/>
      <c r="P50" s="221"/>
      <c r="Q50" s="221"/>
      <c r="R50" s="224"/>
      <c r="S50" s="221"/>
      <c r="T50" s="221"/>
      <c r="U50" s="221"/>
      <c r="V50" s="221">
        <v>149</v>
      </c>
      <c r="W50" s="221">
        <f>1884+1400</f>
        <v>3284</v>
      </c>
      <c r="X50" s="221">
        <f>793-8</f>
        <v>785</v>
      </c>
      <c r="Y50" s="221"/>
      <c r="Z50" s="221"/>
      <c r="AA50" s="221"/>
      <c r="AB50" s="221"/>
      <c r="AC50" s="221">
        <f>AC54+AC55+30500+602+28-200</f>
        <v>31630</v>
      </c>
      <c r="AD50" s="221">
        <f>'Chi xã, TT 2023'!C33</f>
        <v>2055</v>
      </c>
    </row>
    <row r="51" spans="1:30" ht="32.25" customHeight="1">
      <c r="A51" s="219"/>
      <c r="B51" s="222" t="s">
        <v>263</v>
      </c>
      <c r="C51" s="218">
        <f t="shared" si="12"/>
        <v>900</v>
      </c>
      <c r="D51" s="218">
        <f t="shared" si="13"/>
        <v>900</v>
      </c>
      <c r="E51" s="221"/>
      <c r="F51" s="221"/>
      <c r="G51" s="221"/>
      <c r="H51" s="221"/>
      <c r="I51" s="221"/>
      <c r="J51" s="221"/>
      <c r="K51" s="221"/>
      <c r="L51" s="221"/>
      <c r="M51" s="221">
        <f>400+500</f>
        <v>900</v>
      </c>
      <c r="N51" s="221"/>
      <c r="O51" s="221"/>
      <c r="P51" s="221"/>
      <c r="Q51" s="221"/>
      <c r="R51" s="224"/>
      <c r="S51" s="221"/>
      <c r="T51" s="221"/>
      <c r="U51" s="221"/>
      <c r="V51" s="221"/>
      <c r="W51" s="221"/>
      <c r="X51" s="221"/>
      <c r="Y51" s="221"/>
      <c r="Z51" s="221"/>
      <c r="AA51" s="221"/>
      <c r="AB51" s="221"/>
      <c r="AC51" s="221"/>
      <c r="AD51" s="221"/>
    </row>
    <row r="52" spans="1:30" ht="57" customHeight="1">
      <c r="A52" s="219"/>
      <c r="B52" s="222" t="s">
        <v>198</v>
      </c>
      <c r="C52" s="218">
        <f t="shared" si="12"/>
        <v>1800</v>
      </c>
      <c r="D52" s="218">
        <f t="shared" si="13"/>
        <v>1800</v>
      </c>
      <c r="E52" s="221"/>
      <c r="F52" s="221"/>
      <c r="G52" s="221"/>
      <c r="H52" s="221"/>
      <c r="I52" s="221"/>
      <c r="J52" s="221">
        <v>1800</v>
      </c>
      <c r="K52" s="221"/>
      <c r="L52" s="221"/>
      <c r="M52" s="221"/>
      <c r="N52" s="221"/>
      <c r="O52" s="221"/>
      <c r="P52" s="221"/>
      <c r="Q52" s="221"/>
      <c r="R52" s="224"/>
      <c r="S52" s="221"/>
      <c r="T52" s="221"/>
      <c r="U52" s="221"/>
      <c r="V52" s="221"/>
      <c r="W52" s="221"/>
      <c r="X52" s="221"/>
      <c r="Y52" s="221"/>
      <c r="Z52" s="221"/>
      <c r="AA52" s="221"/>
      <c r="AB52" s="221"/>
      <c r="AC52" s="221"/>
      <c r="AD52" s="221"/>
    </row>
    <row r="53" spans="1:30" ht="30" customHeight="1">
      <c r="A53" s="219"/>
      <c r="B53" s="222" t="s">
        <v>278</v>
      </c>
      <c r="C53" s="218">
        <f t="shared" si="12"/>
        <v>2150</v>
      </c>
      <c r="D53" s="218">
        <f t="shared" si="13"/>
        <v>2150</v>
      </c>
      <c r="E53" s="221"/>
      <c r="F53" s="221"/>
      <c r="G53" s="221"/>
      <c r="H53" s="221"/>
      <c r="I53" s="221"/>
      <c r="J53" s="221">
        <f>1300+850</f>
        <v>2150</v>
      </c>
      <c r="K53" s="221"/>
      <c r="L53" s="221"/>
      <c r="M53" s="221"/>
      <c r="N53" s="221"/>
      <c r="O53" s="221"/>
      <c r="P53" s="221"/>
      <c r="Q53" s="221"/>
      <c r="R53" s="224"/>
      <c r="S53" s="221"/>
      <c r="T53" s="221"/>
      <c r="U53" s="221"/>
      <c r="V53" s="221"/>
      <c r="W53" s="221"/>
      <c r="X53" s="221"/>
      <c r="Y53" s="221"/>
      <c r="Z53" s="221"/>
      <c r="AA53" s="221"/>
      <c r="AB53" s="221"/>
      <c r="AC53" s="221"/>
      <c r="AD53" s="221"/>
    </row>
    <row r="54" spans="1:30" ht="18" customHeight="1">
      <c r="A54" s="219"/>
      <c r="B54" s="220" t="s">
        <v>123</v>
      </c>
      <c r="C54" s="218">
        <f>D54+AD54</f>
        <v>100</v>
      </c>
      <c r="D54" s="218">
        <f>SUM(E54:AC54)</f>
        <v>100</v>
      </c>
      <c r="E54" s="221"/>
      <c r="F54" s="221"/>
      <c r="G54" s="221"/>
      <c r="H54" s="221"/>
      <c r="I54" s="221"/>
      <c r="J54" s="221"/>
      <c r="K54" s="221"/>
      <c r="L54" s="221"/>
      <c r="M54" s="221"/>
      <c r="N54" s="221"/>
      <c r="O54" s="221"/>
      <c r="P54" s="221"/>
      <c r="Q54" s="221"/>
      <c r="R54" s="224"/>
      <c r="S54" s="221"/>
      <c r="T54" s="221"/>
      <c r="U54" s="221"/>
      <c r="V54" s="221"/>
      <c r="W54" s="221"/>
      <c r="X54" s="221"/>
      <c r="Y54" s="221"/>
      <c r="Z54" s="221"/>
      <c r="AA54" s="221"/>
      <c r="AB54" s="221"/>
      <c r="AC54" s="221">
        <v>100</v>
      </c>
      <c r="AD54" s="221"/>
    </row>
    <row r="55" spans="1:30" ht="45" customHeight="1">
      <c r="A55" s="219"/>
      <c r="B55" s="222" t="s">
        <v>136</v>
      </c>
      <c r="C55" s="218">
        <f>D55+AD55</f>
        <v>600</v>
      </c>
      <c r="D55" s="218">
        <f>SUM(E55:AC55)</f>
        <v>600</v>
      </c>
      <c r="E55" s="221"/>
      <c r="F55" s="221"/>
      <c r="G55" s="221"/>
      <c r="H55" s="221"/>
      <c r="I55" s="221"/>
      <c r="J55" s="221"/>
      <c r="K55" s="221"/>
      <c r="L55" s="221"/>
      <c r="M55" s="221"/>
      <c r="N55" s="221"/>
      <c r="O55" s="221"/>
      <c r="P55" s="221"/>
      <c r="Q55" s="221"/>
      <c r="R55" s="224"/>
      <c r="S55" s="221"/>
      <c r="T55" s="221"/>
      <c r="U55" s="221"/>
      <c r="V55" s="221"/>
      <c r="W55" s="221"/>
      <c r="X55" s="221"/>
      <c r="Y55" s="221"/>
      <c r="Z55" s="221"/>
      <c r="AA55" s="221"/>
      <c r="AB55" s="221"/>
      <c r="AC55" s="221">
        <v>600</v>
      </c>
      <c r="AD55" s="221"/>
    </row>
    <row r="56" spans="1:30" ht="33" customHeight="1">
      <c r="A56" s="219">
        <v>11</v>
      </c>
      <c r="B56" s="222" t="s">
        <v>146</v>
      </c>
      <c r="C56" s="218">
        <f>D56+AD56</f>
        <v>111892</v>
      </c>
      <c r="D56" s="218">
        <f t="shared" ref="D56" si="15">D57+D62+D63+D69</f>
        <v>38633</v>
      </c>
      <c r="E56" s="218">
        <f>E57+E62+E63+E69</f>
        <v>7857</v>
      </c>
      <c r="F56" s="218">
        <f t="shared" ref="F56:AB56" si="16">F57+F62+F63+F69</f>
        <v>3769</v>
      </c>
      <c r="G56" s="218">
        <f>G57+G62+G63+G69</f>
        <v>7889</v>
      </c>
      <c r="H56" s="218">
        <f t="shared" si="16"/>
        <v>976</v>
      </c>
      <c r="I56" s="218">
        <f t="shared" si="16"/>
        <v>2420</v>
      </c>
      <c r="J56" s="218">
        <f t="shared" si="16"/>
        <v>678</v>
      </c>
      <c r="K56" s="218">
        <f t="shared" si="16"/>
        <v>871</v>
      </c>
      <c r="L56" s="218">
        <f t="shared" si="16"/>
        <v>639</v>
      </c>
      <c r="M56" s="218">
        <f t="shared" si="16"/>
        <v>907</v>
      </c>
      <c r="N56" s="218">
        <f t="shared" si="16"/>
        <v>328</v>
      </c>
      <c r="O56" s="218">
        <f t="shared" si="16"/>
        <v>1920</v>
      </c>
      <c r="P56" s="218">
        <f t="shared" si="16"/>
        <v>915</v>
      </c>
      <c r="Q56" s="218">
        <f t="shared" si="16"/>
        <v>257</v>
      </c>
      <c r="R56" s="218">
        <f t="shared" si="16"/>
        <v>678</v>
      </c>
      <c r="S56" s="218">
        <f t="shared" si="16"/>
        <v>1386</v>
      </c>
      <c r="T56" s="218">
        <f t="shared" si="16"/>
        <v>0</v>
      </c>
      <c r="U56" s="218">
        <f t="shared" si="16"/>
        <v>0</v>
      </c>
      <c r="V56" s="218">
        <f t="shared" si="16"/>
        <v>0</v>
      </c>
      <c r="W56" s="218">
        <f t="shared" si="16"/>
        <v>0</v>
      </c>
      <c r="X56" s="218">
        <f t="shared" si="16"/>
        <v>0</v>
      </c>
      <c r="Y56" s="218">
        <f t="shared" si="16"/>
        <v>0</v>
      </c>
      <c r="Z56" s="218">
        <f t="shared" si="16"/>
        <v>0</v>
      </c>
      <c r="AA56" s="218">
        <f t="shared" si="16"/>
        <v>0</v>
      </c>
      <c r="AB56" s="218">
        <f t="shared" si="16"/>
        <v>0</v>
      </c>
      <c r="AC56" s="218">
        <f>AC57+AC62+AC63+AC69</f>
        <v>7143</v>
      </c>
      <c r="AD56" s="218">
        <f>'Chi xã, TT 2023'!C34</f>
        <v>73259</v>
      </c>
    </row>
    <row r="57" spans="1:30" ht="19.5" customHeight="1">
      <c r="A57" s="219" t="s">
        <v>30</v>
      </c>
      <c r="B57" s="220" t="s">
        <v>112</v>
      </c>
      <c r="C57" s="218">
        <f t="shared" si="12"/>
        <v>26701</v>
      </c>
      <c r="D57" s="218">
        <f t="shared" ref="D57:D74" si="17">SUM(E57:AC57)</f>
        <v>26701</v>
      </c>
      <c r="E57" s="221"/>
      <c r="F57" s="221"/>
      <c r="G57" s="221">
        <f>3220+1725+2478+200</f>
        <v>7623</v>
      </c>
      <c r="H57" s="221">
        <f>966+10</f>
        <v>976</v>
      </c>
      <c r="I57" s="221">
        <f>1257+20+1143</f>
        <v>2420</v>
      </c>
      <c r="J57" s="221">
        <f>658+20</f>
        <v>678</v>
      </c>
      <c r="K57" s="221">
        <f>836+40-5</f>
        <v>871</v>
      </c>
      <c r="L57" s="221">
        <f>498+15+126</f>
        <v>639</v>
      </c>
      <c r="M57" s="221">
        <v>907</v>
      </c>
      <c r="N57" s="221">
        <f>118+210</f>
        <v>328</v>
      </c>
      <c r="O57" s="221">
        <f>1040+880</f>
        <v>1920</v>
      </c>
      <c r="P57" s="221">
        <v>915</v>
      </c>
      <c r="Q57" s="221">
        <f>259-2</f>
        <v>257</v>
      </c>
      <c r="R57" s="224">
        <f>518+140</f>
        <v>658</v>
      </c>
      <c r="S57" s="221">
        <v>1366</v>
      </c>
      <c r="T57" s="221"/>
      <c r="U57" s="221"/>
      <c r="V57" s="221"/>
      <c r="W57" s="221"/>
      <c r="X57" s="221"/>
      <c r="Y57" s="221"/>
      <c r="Z57" s="221"/>
      <c r="AA57" s="221"/>
      <c r="AB57" s="221"/>
      <c r="AC57" s="221">
        <f>+AC60+AC61</f>
        <v>7143</v>
      </c>
      <c r="AD57" s="221"/>
    </row>
    <row r="58" spans="1:30" ht="20.25" customHeight="1">
      <c r="A58" s="219"/>
      <c r="B58" s="220" t="s">
        <v>200</v>
      </c>
      <c r="C58" s="218">
        <f t="shared" si="12"/>
        <v>850</v>
      </c>
      <c r="D58" s="218">
        <f t="shared" si="17"/>
        <v>850</v>
      </c>
      <c r="E58" s="221"/>
      <c r="F58" s="221"/>
      <c r="G58" s="221"/>
      <c r="H58" s="221"/>
      <c r="I58" s="221"/>
      <c r="J58" s="221"/>
      <c r="K58" s="221"/>
      <c r="L58" s="221"/>
      <c r="M58" s="221"/>
      <c r="N58" s="221"/>
      <c r="O58" s="221">
        <v>850</v>
      </c>
      <c r="P58" s="221"/>
      <c r="Q58" s="221"/>
      <c r="R58" s="224"/>
      <c r="S58" s="221"/>
      <c r="T58" s="221"/>
      <c r="U58" s="221"/>
      <c r="V58" s="221"/>
      <c r="W58" s="221"/>
      <c r="X58" s="221"/>
      <c r="Y58" s="221"/>
      <c r="Z58" s="221"/>
      <c r="AA58" s="221"/>
      <c r="AB58" s="221"/>
      <c r="AC58" s="221"/>
      <c r="AD58" s="221"/>
    </row>
    <row r="59" spans="1:30" ht="30.75" customHeight="1">
      <c r="A59" s="219"/>
      <c r="B59" s="222" t="s">
        <v>201</v>
      </c>
      <c r="C59" s="218">
        <f t="shared" si="12"/>
        <v>0</v>
      </c>
      <c r="D59" s="218">
        <f t="shared" si="17"/>
        <v>0</v>
      </c>
      <c r="E59" s="221"/>
      <c r="F59" s="221"/>
      <c r="G59" s="221"/>
      <c r="H59" s="221"/>
      <c r="I59" s="221"/>
      <c r="J59" s="221"/>
      <c r="K59" s="221"/>
      <c r="L59" s="221"/>
      <c r="M59" s="221"/>
      <c r="N59" s="221"/>
      <c r="O59" s="221"/>
      <c r="P59" s="221"/>
      <c r="Q59" s="221"/>
      <c r="R59" s="224"/>
      <c r="S59" s="221"/>
      <c r="T59" s="221"/>
      <c r="U59" s="221"/>
      <c r="V59" s="221"/>
      <c r="W59" s="221"/>
      <c r="X59" s="221"/>
      <c r="Y59" s="221"/>
      <c r="Z59" s="221"/>
      <c r="AA59" s="221"/>
      <c r="AB59" s="221"/>
      <c r="AC59" s="221"/>
      <c r="AD59" s="221"/>
    </row>
    <row r="60" spans="1:30" ht="15.75" customHeight="1">
      <c r="A60" s="219"/>
      <c r="B60" s="220" t="s">
        <v>202</v>
      </c>
      <c r="C60" s="218">
        <f>D60+AD60</f>
        <v>6000</v>
      </c>
      <c r="D60" s="218">
        <f>SUM(E60:AC60)</f>
        <v>6000</v>
      </c>
      <c r="E60" s="221"/>
      <c r="F60" s="221"/>
      <c r="G60" s="221"/>
      <c r="H60" s="221"/>
      <c r="I60" s="221"/>
      <c r="J60" s="221"/>
      <c r="K60" s="221"/>
      <c r="L60" s="221"/>
      <c r="M60" s="221"/>
      <c r="N60" s="221"/>
      <c r="O60" s="221"/>
      <c r="P60" s="221"/>
      <c r="Q60" s="221"/>
      <c r="R60" s="224"/>
      <c r="S60" s="221"/>
      <c r="T60" s="221"/>
      <c r="U60" s="221"/>
      <c r="V60" s="221"/>
      <c r="W60" s="221"/>
      <c r="X60" s="221"/>
      <c r="Y60" s="221"/>
      <c r="Z60" s="221"/>
      <c r="AA60" s="221"/>
      <c r="AB60" s="221"/>
      <c r="AC60" s="221">
        <v>6000</v>
      </c>
      <c r="AD60" s="221"/>
    </row>
    <row r="61" spans="1:30" ht="30.75" customHeight="1">
      <c r="A61" s="219"/>
      <c r="B61" s="222" t="s">
        <v>203</v>
      </c>
      <c r="C61" s="218">
        <f>D61+AD61</f>
        <v>1143</v>
      </c>
      <c r="D61" s="218">
        <f>SUM(E61:AC61)</f>
        <v>1143</v>
      </c>
      <c r="E61" s="221"/>
      <c r="F61" s="221"/>
      <c r="G61" s="221"/>
      <c r="H61" s="221"/>
      <c r="I61" s="221"/>
      <c r="J61" s="221"/>
      <c r="K61" s="221"/>
      <c r="L61" s="221"/>
      <c r="M61" s="221"/>
      <c r="N61" s="221"/>
      <c r="O61" s="221"/>
      <c r="P61" s="221"/>
      <c r="Q61" s="221"/>
      <c r="R61" s="224"/>
      <c r="S61" s="221"/>
      <c r="T61" s="221"/>
      <c r="U61" s="221"/>
      <c r="V61" s="221"/>
      <c r="W61" s="221"/>
      <c r="X61" s="221"/>
      <c r="Y61" s="221"/>
      <c r="Z61" s="221"/>
      <c r="AA61" s="221"/>
      <c r="AB61" s="221"/>
      <c r="AC61" s="221">
        <v>1143</v>
      </c>
      <c r="AD61" s="221"/>
    </row>
    <row r="62" spans="1:30" s="51" customFormat="1" ht="15.75" customHeight="1">
      <c r="A62" s="219" t="s">
        <v>31</v>
      </c>
      <c r="B62" s="221" t="s">
        <v>87</v>
      </c>
      <c r="C62" s="218">
        <f t="shared" si="12"/>
        <v>7857</v>
      </c>
      <c r="D62" s="218">
        <f t="shared" si="17"/>
        <v>7857</v>
      </c>
      <c r="E62" s="221">
        <f>5251+2606</f>
        <v>7857</v>
      </c>
      <c r="F62" s="221"/>
      <c r="G62" s="221"/>
      <c r="H62" s="221"/>
      <c r="I62" s="221"/>
      <c r="J62" s="221"/>
      <c r="K62" s="221"/>
      <c r="L62" s="221"/>
      <c r="M62" s="221"/>
      <c r="N62" s="221"/>
      <c r="O62" s="221"/>
      <c r="P62" s="221"/>
      <c r="Q62" s="221"/>
      <c r="R62" s="224"/>
      <c r="S62" s="221"/>
      <c r="T62" s="221"/>
      <c r="U62" s="221"/>
      <c r="V62" s="221"/>
      <c r="W62" s="221"/>
      <c r="X62" s="221"/>
      <c r="Y62" s="221"/>
      <c r="Z62" s="221"/>
      <c r="AA62" s="221"/>
      <c r="AB62" s="221"/>
      <c r="AC62" s="221"/>
      <c r="AD62" s="221"/>
    </row>
    <row r="63" spans="1:30" ht="15.75" customHeight="1">
      <c r="A63" s="219" t="s">
        <v>32</v>
      </c>
      <c r="B63" s="220" t="s">
        <v>88</v>
      </c>
      <c r="C63" s="218">
        <f t="shared" si="12"/>
        <v>3646</v>
      </c>
      <c r="D63" s="218">
        <f t="shared" si="17"/>
        <v>3646</v>
      </c>
      <c r="E63" s="221">
        <f>SUM(E64:E68)</f>
        <v>0</v>
      </c>
      <c r="F63" s="221">
        <f>SUM(F64:F68)</f>
        <v>3646</v>
      </c>
      <c r="G63" s="221"/>
      <c r="H63" s="221"/>
      <c r="I63" s="221"/>
      <c r="J63" s="221"/>
      <c r="K63" s="221"/>
      <c r="L63" s="221"/>
      <c r="M63" s="221"/>
      <c r="N63" s="221"/>
      <c r="O63" s="221"/>
      <c r="P63" s="221"/>
      <c r="Q63" s="221"/>
      <c r="R63" s="224"/>
      <c r="S63" s="221"/>
      <c r="T63" s="221"/>
      <c r="U63" s="221"/>
      <c r="V63" s="221"/>
      <c r="W63" s="221"/>
      <c r="X63" s="221"/>
      <c r="Y63" s="221"/>
      <c r="Z63" s="221"/>
      <c r="AA63" s="221"/>
      <c r="AB63" s="221"/>
      <c r="AC63" s="221"/>
      <c r="AD63" s="221"/>
    </row>
    <row r="64" spans="1:30" ht="15.75" customHeight="1">
      <c r="A64" s="225"/>
      <c r="B64" s="220" t="s">
        <v>114</v>
      </c>
      <c r="C64" s="218">
        <f t="shared" si="12"/>
        <v>764</v>
      </c>
      <c r="D64" s="218">
        <f t="shared" si="17"/>
        <v>764</v>
      </c>
      <c r="E64" s="221"/>
      <c r="F64" s="221">
        <f>544+220</f>
        <v>764</v>
      </c>
      <c r="G64" s="221"/>
      <c r="H64" s="221"/>
      <c r="I64" s="221"/>
      <c r="J64" s="221"/>
      <c r="K64" s="221"/>
      <c r="L64" s="221"/>
      <c r="M64" s="221"/>
      <c r="N64" s="221"/>
      <c r="O64" s="221"/>
      <c r="P64" s="221"/>
      <c r="Q64" s="221"/>
      <c r="R64" s="224"/>
      <c r="S64" s="221"/>
      <c r="T64" s="221"/>
      <c r="U64" s="221"/>
      <c r="V64" s="221"/>
      <c r="W64" s="221"/>
      <c r="X64" s="221"/>
      <c r="Y64" s="221"/>
      <c r="Z64" s="221"/>
      <c r="AA64" s="221"/>
      <c r="AB64" s="221"/>
      <c r="AC64" s="221"/>
      <c r="AD64" s="221"/>
    </row>
    <row r="65" spans="1:30" ht="15.75" customHeight="1">
      <c r="A65" s="225"/>
      <c r="B65" s="220" t="s">
        <v>115</v>
      </c>
      <c r="C65" s="218">
        <f t="shared" si="12"/>
        <v>549</v>
      </c>
      <c r="D65" s="218">
        <f t="shared" si="17"/>
        <v>549</v>
      </c>
      <c r="E65" s="221"/>
      <c r="F65" s="221">
        <f>369+180</f>
        <v>549</v>
      </c>
      <c r="G65" s="221"/>
      <c r="H65" s="221"/>
      <c r="I65" s="221"/>
      <c r="J65" s="221"/>
      <c r="K65" s="221"/>
      <c r="L65" s="221"/>
      <c r="M65" s="221"/>
      <c r="N65" s="221"/>
      <c r="O65" s="221"/>
      <c r="P65" s="221"/>
      <c r="Q65" s="221"/>
      <c r="R65" s="224"/>
      <c r="S65" s="221"/>
      <c r="T65" s="221"/>
      <c r="U65" s="221"/>
      <c r="V65" s="221"/>
      <c r="W65" s="221"/>
      <c r="X65" s="221"/>
      <c r="Y65" s="221"/>
      <c r="Z65" s="221"/>
      <c r="AA65" s="221"/>
      <c r="AB65" s="221"/>
      <c r="AC65" s="221"/>
      <c r="AD65" s="221"/>
    </row>
    <row r="66" spans="1:30" ht="15.75" customHeight="1">
      <c r="A66" s="225"/>
      <c r="B66" s="220" t="s">
        <v>116</v>
      </c>
      <c r="C66" s="218">
        <f t="shared" si="12"/>
        <v>867</v>
      </c>
      <c r="D66" s="218">
        <f t="shared" si="17"/>
        <v>867</v>
      </c>
      <c r="E66" s="221"/>
      <c r="F66" s="221">
        <f>732+135</f>
        <v>867</v>
      </c>
      <c r="G66" s="221"/>
      <c r="H66" s="221"/>
      <c r="I66" s="221"/>
      <c r="J66" s="221"/>
      <c r="K66" s="221"/>
      <c r="L66" s="221"/>
      <c r="M66" s="221"/>
      <c r="N66" s="221"/>
      <c r="O66" s="221"/>
      <c r="P66" s="221"/>
      <c r="Q66" s="221"/>
      <c r="R66" s="224"/>
      <c r="S66" s="221"/>
      <c r="T66" s="221"/>
      <c r="U66" s="221"/>
      <c r="V66" s="221"/>
      <c r="W66" s="221"/>
      <c r="X66" s="221"/>
      <c r="Y66" s="221"/>
      <c r="Z66" s="221"/>
      <c r="AA66" s="221"/>
      <c r="AB66" s="221"/>
      <c r="AC66" s="221"/>
      <c r="AD66" s="221"/>
    </row>
    <row r="67" spans="1:30" ht="15.75" customHeight="1">
      <c r="A67" s="225"/>
      <c r="B67" s="220" t="s">
        <v>117</v>
      </c>
      <c r="C67" s="218">
        <f t="shared" si="12"/>
        <v>958</v>
      </c>
      <c r="D67" s="218">
        <f t="shared" si="17"/>
        <v>958</v>
      </c>
      <c r="E67" s="221"/>
      <c r="F67" s="221">
        <f>713+245</f>
        <v>958</v>
      </c>
      <c r="G67" s="221"/>
      <c r="H67" s="221"/>
      <c r="I67" s="221"/>
      <c r="J67" s="221"/>
      <c r="K67" s="221"/>
      <c r="L67" s="221"/>
      <c r="M67" s="221"/>
      <c r="N67" s="221"/>
      <c r="O67" s="221"/>
      <c r="P67" s="221"/>
      <c r="Q67" s="221"/>
      <c r="R67" s="224"/>
      <c r="S67" s="221"/>
      <c r="T67" s="221"/>
      <c r="U67" s="221"/>
      <c r="V67" s="221"/>
      <c r="W67" s="221"/>
      <c r="X67" s="221"/>
      <c r="Y67" s="221"/>
      <c r="Z67" s="221"/>
      <c r="AA67" s="221"/>
      <c r="AB67" s="221"/>
      <c r="AC67" s="221"/>
      <c r="AD67" s="221"/>
    </row>
    <row r="68" spans="1:30" ht="15.75" customHeight="1">
      <c r="A68" s="225"/>
      <c r="B68" s="220" t="s">
        <v>118</v>
      </c>
      <c r="C68" s="218">
        <f t="shared" si="12"/>
        <v>508</v>
      </c>
      <c r="D68" s="218">
        <f t="shared" si="17"/>
        <v>508</v>
      </c>
      <c r="E68" s="221"/>
      <c r="F68" s="221">
        <f>433+75</f>
        <v>508</v>
      </c>
      <c r="G68" s="221"/>
      <c r="H68" s="221"/>
      <c r="I68" s="221"/>
      <c r="J68" s="221"/>
      <c r="K68" s="221"/>
      <c r="L68" s="221"/>
      <c r="M68" s="221"/>
      <c r="N68" s="221"/>
      <c r="O68" s="221"/>
      <c r="P68" s="221"/>
      <c r="Q68" s="221"/>
      <c r="R68" s="224"/>
      <c r="S68" s="221"/>
      <c r="T68" s="221"/>
      <c r="U68" s="221"/>
      <c r="V68" s="221"/>
      <c r="W68" s="221"/>
      <c r="X68" s="221"/>
      <c r="Y68" s="221"/>
      <c r="Z68" s="221"/>
      <c r="AA68" s="221"/>
      <c r="AB68" s="221"/>
      <c r="AC68" s="221"/>
      <c r="AD68" s="221"/>
    </row>
    <row r="69" spans="1:30" ht="17.25" customHeight="1">
      <c r="A69" s="219" t="s">
        <v>33</v>
      </c>
      <c r="B69" s="220" t="s">
        <v>89</v>
      </c>
      <c r="C69" s="218">
        <f t="shared" si="12"/>
        <v>429</v>
      </c>
      <c r="D69" s="218">
        <f>SUM(E69:AC69)</f>
        <v>429</v>
      </c>
      <c r="E69" s="221">
        <f t="shared" ref="E69:F69" si="18">SUM(E70:E74)</f>
        <v>0</v>
      </c>
      <c r="F69" s="221">
        <f t="shared" si="18"/>
        <v>123</v>
      </c>
      <c r="G69" s="221">
        <f>SUM(G70:G74)</f>
        <v>266</v>
      </c>
      <c r="H69" s="221">
        <f t="shared" ref="H69:AD69" si="19">SUM(H70:H74)</f>
        <v>0</v>
      </c>
      <c r="I69" s="221">
        <f t="shared" si="19"/>
        <v>0</v>
      </c>
      <c r="J69" s="221">
        <f t="shared" si="19"/>
        <v>0</v>
      </c>
      <c r="K69" s="221">
        <f t="shared" si="19"/>
        <v>0</v>
      </c>
      <c r="L69" s="221">
        <f t="shared" si="19"/>
        <v>0</v>
      </c>
      <c r="M69" s="221">
        <f t="shared" si="19"/>
        <v>0</v>
      </c>
      <c r="N69" s="221">
        <f t="shared" si="19"/>
        <v>0</v>
      </c>
      <c r="O69" s="221">
        <f t="shared" si="19"/>
        <v>0</v>
      </c>
      <c r="P69" s="221">
        <f t="shared" si="19"/>
        <v>0</v>
      </c>
      <c r="Q69" s="221">
        <f t="shared" si="19"/>
        <v>0</v>
      </c>
      <c r="R69" s="221">
        <f t="shared" si="19"/>
        <v>20</v>
      </c>
      <c r="S69" s="221">
        <f t="shared" si="19"/>
        <v>20</v>
      </c>
      <c r="T69" s="221">
        <f t="shared" si="19"/>
        <v>0</v>
      </c>
      <c r="U69" s="221">
        <f t="shared" si="19"/>
        <v>0</v>
      </c>
      <c r="V69" s="221">
        <f t="shared" si="19"/>
        <v>0</v>
      </c>
      <c r="W69" s="221">
        <f t="shared" si="19"/>
        <v>0</v>
      </c>
      <c r="X69" s="221">
        <f t="shared" si="19"/>
        <v>0</v>
      </c>
      <c r="Y69" s="221">
        <f t="shared" si="19"/>
        <v>0</v>
      </c>
      <c r="Z69" s="221">
        <f t="shared" si="19"/>
        <v>0</v>
      </c>
      <c r="AA69" s="221">
        <f t="shared" si="19"/>
        <v>0</v>
      </c>
      <c r="AB69" s="221">
        <f t="shared" si="19"/>
        <v>0</v>
      </c>
      <c r="AC69" s="221">
        <f t="shared" si="19"/>
        <v>0</v>
      </c>
      <c r="AD69" s="221">
        <f t="shared" si="19"/>
        <v>0</v>
      </c>
    </row>
    <row r="70" spans="1:30" ht="15.75" customHeight="1">
      <c r="A70" s="219"/>
      <c r="B70" s="220" t="s">
        <v>101</v>
      </c>
      <c r="C70" s="218">
        <f t="shared" si="12"/>
        <v>123</v>
      </c>
      <c r="D70" s="218">
        <f t="shared" si="17"/>
        <v>123</v>
      </c>
      <c r="E70" s="221"/>
      <c r="F70" s="221">
        <f>93+30</f>
        <v>123</v>
      </c>
      <c r="G70" s="221"/>
      <c r="H70" s="221"/>
      <c r="I70" s="221"/>
      <c r="J70" s="221"/>
      <c r="K70" s="221"/>
      <c r="L70" s="221"/>
      <c r="M70" s="221"/>
      <c r="N70" s="221"/>
      <c r="O70" s="221"/>
      <c r="P70" s="221"/>
      <c r="Q70" s="221"/>
      <c r="R70" s="224"/>
      <c r="S70" s="221"/>
      <c r="T70" s="221"/>
      <c r="U70" s="221"/>
      <c r="V70" s="221"/>
      <c r="W70" s="221"/>
      <c r="X70" s="221"/>
      <c r="Y70" s="221"/>
      <c r="Z70" s="221"/>
      <c r="AA70" s="221"/>
      <c r="AB70" s="221"/>
      <c r="AC70" s="221"/>
      <c r="AD70" s="221"/>
    </row>
    <row r="71" spans="1:30" ht="15.75" customHeight="1">
      <c r="A71" s="219"/>
      <c r="B71" s="220" t="s">
        <v>90</v>
      </c>
      <c r="C71" s="218">
        <f t="shared" si="12"/>
        <v>226</v>
      </c>
      <c r="D71" s="218">
        <f t="shared" si="17"/>
        <v>226</v>
      </c>
      <c r="E71" s="221"/>
      <c r="F71" s="221"/>
      <c r="G71" s="221">
        <f>129+97</f>
        <v>226</v>
      </c>
      <c r="H71" s="221"/>
      <c r="I71" s="221"/>
      <c r="J71" s="221"/>
      <c r="K71" s="221"/>
      <c r="L71" s="221"/>
      <c r="M71" s="221"/>
      <c r="N71" s="221"/>
      <c r="O71" s="221"/>
      <c r="P71" s="221"/>
      <c r="Q71" s="221"/>
      <c r="R71" s="224"/>
      <c r="S71" s="221"/>
      <c r="T71" s="221"/>
      <c r="U71" s="221"/>
      <c r="V71" s="221"/>
      <c r="W71" s="221"/>
      <c r="X71" s="221"/>
      <c r="Y71" s="221"/>
      <c r="Z71" s="221"/>
      <c r="AA71" s="221"/>
      <c r="AB71" s="221"/>
      <c r="AC71" s="221"/>
      <c r="AD71" s="221"/>
    </row>
    <row r="72" spans="1:30" ht="15.75" customHeight="1">
      <c r="A72" s="219"/>
      <c r="B72" s="220" t="s">
        <v>91</v>
      </c>
      <c r="C72" s="218">
        <f t="shared" si="12"/>
        <v>40</v>
      </c>
      <c r="D72" s="218">
        <f t="shared" si="17"/>
        <v>40</v>
      </c>
      <c r="E72" s="221"/>
      <c r="F72" s="221"/>
      <c r="G72" s="221">
        <v>40</v>
      </c>
      <c r="H72" s="221"/>
      <c r="I72" s="221"/>
      <c r="J72" s="221"/>
      <c r="K72" s="221"/>
      <c r="L72" s="221"/>
      <c r="M72" s="221"/>
      <c r="N72" s="221"/>
      <c r="O72" s="221"/>
      <c r="P72" s="221"/>
      <c r="Q72" s="221"/>
      <c r="R72" s="224"/>
      <c r="S72" s="221"/>
      <c r="T72" s="221"/>
      <c r="U72" s="221"/>
      <c r="V72" s="221"/>
      <c r="W72" s="221"/>
      <c r="X72" s="221"/>
      <c r="Y72" s="221"/>
      <c r="Z72" s="221"/>
      <c r="AA72" s="221"/>
      <c r="AB72" s="221"/>
      <c r="AC72" s="221"/>
      <c r="AD72" s="221"/>
    </row>
    <row r="73" spans="1:30" ht="15.75" customHeight="1">
      <c r="A73" s="219"/>
      <c r="B73" s="220" t="s">
        <v>92</v>
      </c>
      <c r="C73" s="218">
        <f t="shared" si="12"/>
        <v>20</v>
      </c>
      <c r="D73" s="218">
        <f t="shared" si="17"/>
        <v>20</v>
      </c>
      <c r="E73" s="221"/>
      <c r="F73" s="221"/>
      <c r="G73" s="221"/>
      <c r="H73" s="221"/>
      <c r="I73" s="221"/>
      <c r="J73" s="221"/>
      <c r="K73" s="221"/>
      <c r="L73" s="221"/>
      <c r="M73" s="221"/>
      <c r="N73" s="221"/>
      <c r="O73" s="221"/>
      <c r="P73" s="221"/>
      <c r="Q73" s="221"/>
      <c r="R73" s="224">
        <v>20</v>
      </c>
      <c r="S73" s="221"/>
      <c r="T73" s="221"/>
      <c r="U73" s="221"/>
      <c r="V73" s="221"/>
      <c r="W73" s="221"/>
      <c r="X73" s="221"/>
      <c r="Y73" s="221"/>
      <c r="Z73" s="221"/>
      <c r="AA73" s="221"/>
      <c r="AB73" s="221"/>
      <c r="AC73" s="221"/>
      <c r="AD73" s="221"/>
    </row>
    <row r="74" spans="1:30" ht="15.75" customHeight="1">
      <c r="A74" s="219"/>
      <c r="B74" s="220" t="s">
        <v>93</v>
      </c>
      <c r="C74" s="218">
        <f t="shared" si="12"/>
        <v>20</v>
      </c>
      <c r="D74" s="218">
        <f t="shared" si="17"/>
        <v>20</v>
      </c>
      <c r="E74" s="221"/>
      <c r="F74" s="221"/>
      <c r="G74" s="221"/>
      <c r="H74" s="221"/>
      <c r="I74" s="221"/>
      <c r="J74" s="221"/>
      <c r="K74" s="221"/>
      <c r="L74" s="221"/>
      <c r="M74" s="221"/>
      <c r="N74" s="221"/>
      <c r="O74" s="221"/>
      <c r="P74" s="221"/>
      <c r="Q74" s="221"/>
      <c r="R74" s="224"/>
      <c r="S74" s="221">
        <v>20</v>
      </c>
      <c r="T74" s="221"/>
      <c r="U74" s="221"/>
      <c r="V74" s="221"/>
      <c r="W74" s="221"/>
      <c r="X74" s="221"/>
      <c r="Y74" s="221"/>
      <c r="Z74" s="221"/>
      <c r="AA74" s="221"/>
      <c r="AB74" s="221"/>
      <c r="AC74" s="221"/>
      <c r="AD74" s="221"/>
    </row>
    <row r="75" spans="1:30" ht="18" customHeight="1">
      <c r="A75" s="219">
        <v>12</v>
      </c>
      <c r="B75" s="220" t="s">
        <v>94</v>
      </c>
      <c r="C75" s="218">
        <f t="shared" si="12"/>
        <v>47284</v>
      </c>
      <c r="D75" s="218">
        <f>SUM(D76:D80)</f>
        <v>45665</v>
      </c>
      <c r="E75" s="221"/>
      <c r="F75" s="221"/>
      <c r="G75" s="221"/>
      <c r="H75" s="221"/>
      <c r="I75" s="221"/>
      <c r="J75" s="221"/>
      <c r="K75" s="221"/>
      <c r="L75" s="221"/>
      <c r="M75" s="221"/>
      <c r="N75" s="221"/>
      <c r="O75" s="221"/>
      <c r="P75" s="221">
        <f>SUM(P76:P80)</f>
        <v>45538</v>
      </c>
      <c r="Q75" s="221">
        <f>SUM(Q76:Q80)</f>
        <v>127</v>
      </c>
      <c r="R75" s="221"/>
      <c r="S75" s="221"/>
      <c r="T75" s="221"/>
      <c r="U75" s="221"/>
      <c r="V75" s="221"/>
      <c r="W75" s="221"/>
      <c r="X75" s="221"/>
      <c r="Y75" s="221"/>
      <c r="Z75" s="221"/>
      <c r="AA75" s="221"/>
      <c r="AB75" s="221"/>
      <c r="AC75" s="221"/>
      <c r="AD75" s="221">
        <f>'Chi xã, TT 2023'!C40</f>
        <v>1619</v>
      </c>
    </row>
    <row r="76" spans="1:30" ht="30" customHeight="1">
      <c r="A76" s="219"/>
      <c r="B76" s="222" t="s">
        <v>137</v>
      </c>
      <c r="C76" s="218">
        <f>D76+AD76</f>
        <v>35720</v>
      </c>
      <c r="D76" s="218">
        <f t="shared" ref="D76:D82" si="20">SUM(E76:AC76)</f>
        <v>35720</v>
      </c>
      <c r="E76" s="221"/>
      <c r="F76" s="221"/>
      <c r="G76" s="221"/>
      <c r="H76" s="221"/>
      <c r="I76" s="221"/>
      <c r="J76" s="221"/>
      <c r="K76" s="221"/>
      <c r="L76" s="221"/>
      <c r="M76" s="221"/>
      <c r="N76" s="221"/>
      <c r="O76" s="221"/>
      <c r="P76" s="221">
        <v>35720</v>
      </c>
      <c r="Q76" s="221"/>
      <c r="R76" s="221"/>
      <c r="S76" s="221"/>
      <c r="T76" s="221"/>
      <c r="U76" s="221"/>
      <c r="V76" s="221"/>
      <c r="W76" s="221"/>
      <c r="X76" s="221"/>
      <c r="Y76" s="221"/>
      <c r="Z76" s="221"/>
      <c r="AA76" s="221"/>
      <c r="AB76" s="221"/>
      <c r="AC76" s="221"/>
      <c r="AD76" s="221"/>
    </row>
    <row r="77" spans="1:30" ht="15.75" customHeight="1">
      <c r="A77" s="219"/>
      <c r="B77" s="220" t="s">
        <v>42</v>
      </c>
      <c r="C77" s="218">
        <f t="shared" si="12"/>
        <v>6498</v>
      </c>
      <c r="D77" s="218">
        <f t="shared" si="20"/>
        <v>6498</v>
      </c>
      <c r="E77" s="221"/>
      <c r="F77" s="221"/>
      <c r="G77" s="221"/>
      <c r="H77" s="221"/>
      <c r="I77" s="221"/>
      <c r="J77" s="221"/>
      <c r="K77" s="221"/>
      <c r="L77" s="221"/>
      <c r="M77" s="221"/>
      <c r="N77" s="221"/>
      <c r="O77" s="221"/>
      <c r="P77" s="221">
        <v>6498</v>
      </c>
      <c r="Q77" s="221"/>
      <c r="R77" s="221"/>
      <c r="S77" s="221"/>
      <c r="T77" s="221"/>
      <c r="U77" s="221"/>
      <c r="V77" s="221"/>
      <c r="W77" s="221"/>
      <c r="X77" s="221"/>
      <c r="Y77" s="221"/>
      <c r="Z77" s="221"/>
      <c r="AA77" s="221"/>
      <c r="AB77" s="221"/>
      <c r="AC77" s="221"/>
      <c r="AD77" s="221"/>
    </row>
    <row r="78" spans="1:30" ht="30" customHeight="1">
      <c r="A78" s="219"/>
      <c r="B78" s="222" t="s">
        <v>122</v>
      </c>
      <c r="C78" s="218">
        <f>D78+AD78</f>
        <v>127</v>
      </c>
      <c r="D78" s="218">
        <f t="shared" si="20"/>
        <v>127</v>
      </c>
      <c r="E78" s="221"/>
      <c r="F78" s="221"/>
      <c r="G78" s="221"/>
      <c r="H78" s="221"/>
      <c r="I78" s="221"/>
      <c r="J78" s="221"/>
      <c r="K78" s="221"/>
      <c r="L78" s="221"/>
      <c r="M78" s="221"/>
      <c r="N78" s="221"/>
      <c r="O78" s="221"/>
      <c r="P78" s="221"/>
      <c r="Q78" s="221">
        <v>127</v>
      </c>
      <c r="R78" s="221"/>
      <c r="S78" s="221"/>
      <c r="T78" s="221"/>
      <c r="U78" s="221"/>
      <c r="V78" s="221"/>
      <c r="W78" s="221"/>
      <c r="X78" s="221"/>
      <c r="Y78" s="221"/>
      <c r="Z78" s="221"/>
      <c r="AA78" s="221"/>
      <c r="AB78" s="221"/>
      <c r="AC78" s="221"/>
      <c r="AD78" s="221"/>
    </row>
    <row r="79" spans="1:30" ht="15.75" customHeight="1">
      <c r="A79" s="219"/>
      <c r="B79" s="220" t="s">
        <v>119</v>
      </c>
      <c r="C79" s="218">
        <f>D79+AD79</f>
        <v>120</v>
      </c>
      <c r="D79" s="218">
        <f t="shared" si="20"/>
        <v>120</v>
      </c>
      <c r="E79" s="221"/>
      <c r="F79" s="221"/>
      <c r="G79" s="221"/>
      <c r="H79" s="221"/>
      <c r="I79" s="221"/>
      <c r="J79" s="221"/>
      <c r="K79" s="221"/>
      <c r="L79" s="221"/>
      <c r="M79" s="221"/>
      <c r="N79" s="221"/>
      <c r="O79" s="221"/>
      <c r="P79" s="221">
        <v>120</v>
      </c>
      <c r="Q79" s="221"/>
      <c r="R79" s="221"/>
      <c r="S79" s="221"/>
      <c r="T79" s="221"/>
      <c r="U79" s="221"/>
      <c r="V79" s="221"/>
      <c r="W79" s="221"/>
      <c r="X79" s="221"/>
      <c r="Y79" s="221"/>
      <c r="Z79" s="221"/>
      <c r="AA79" s="221"/>
      <c r="AB79" s="221"/>
      <c r="AC79" s="221"/>
      <c r="AD79" s="221"/>
    </row>
    <row r="80" spans="1:30" ht="15.75" customHeight="1">
      <c r="A80" s="219"/>
      <c r="B80" s="220" t="s">
        <v>43</v>
      </c>
      <c r="C80" s="218">
        <f t="shared" si="12"/>
        <v>3200</v>
      </c>
      <c r="D80" s="218">
        <f t="shared" si="20"/>
        <v>3200</v>
      </c>
      <c r="E80" s="221"/>
      <c r="F80" s="221"/>
      <c r="G80" s="221"/>
      <c r="H80" s="221"/>
      <c r="I80" s="221"/>
      <c r="J80" s="221"/>
      <c r="K80" s="221"/>
      <c r="L80" s="221"/>
      <c r="M80" s="221"/>
      <c r="N80" s="221"/>
      <c r="O80" s="221"/>
      <c r="P80" s="221">
        <v>3200</v>
      </c>
      <c r="Q80" s="221"/>
      <c r="R80" s="221"/>
      <c r="S80" s="221"/>
      <c r="T80" s="221"/>
      <c r="U80" s="221"/>
      <c r="V80" s="221"/>
      <c r="W80" s="221"/>
      <c r="X80" s="221"/>
      <c r="Y80" s="221"/>
      <c r="Z80" s="221"/>
      <c r="AA80" s="221"/>
      <c r="AB80" s="221"/>
      <c r="AC80" s="221"/>
      <c r="AD80" s="221"/>
    </row>
    <row r="81" spans="1:34" s="227" customFormat="1" ht="15.75" customHeight="1">
      <c r="A81" s="219">
        <v>13</v>
      </c>
      <c r="B81" s="226" t="s">
        <v>26</v>
      </c>
      <c r="C81" s="218">
        <f>D81+AD81</f>
        <v>20803</v>
      </c>
      <c r="D81" s="218">
        <f>SUM(E81:AC81)</f>
        <v>19593</v>
      </c>
      <c r="E81" s="221"/>
      <c r="F81" s="221"/>
      <c r="G81" s="221"/>
      <c r="H81" s="221"/>
      <c r="I81" s="221"/>
      <c r="J81" s="221"/>
      <c r="K81" s="221"/>
      <c r="L81" s="221"/>
      <c r="M81" s="221"/>
      <c r="N81" s="221"/>
      <c r="O81" s="221"/>
      <c r="P81" s="221"/>
      <c r="Q81" s="221"/>
      <c r="R81" s="224"/>
      <c r="S81" s="221">
        <f>S82</f>
        <v>4589</v>
      </c>
      <c r="T81" s="221"/>
      <c r="U81" s="221"/>
      <c r="V81" s="221"/>
      <c r="W81" s="221"/>
      <c r="X81" s="221"/>
      <c r="Y81" s="221"/>
      <c r="Z81" s="221"/>
      <c r="AA81" s="221"/>
      <c r="AB81" s="221"/>
      <c r="AC81" s="221">
        <f>9944+5000+60</f>
        <v>15004</v>
      </c>
      <c r="AD81" s="221">
        <f>AD82</f>
        <v>1210</v>
      </c>
    </row>
    <row r="82" spans="1:34" ht="30" customHeight="1">
      <c r="A82" s="219"/>
      <c r="B82" s="222" t="s">
        <v>204</v>
      </c>
      <c r="C82" s="218">
        <f>D82+AD82</f>
        <v>9944</v>
      </c>
      <c r="D82" s="218">
        <f t="shared" si="20"/>
        <v>8734</v>
      </c>
      <c r="E82" s="221"/>
      <c r="F82" s="221"/>
      <c r="G82" s="221"/>
      <c r="H82" s="221"/>
      <c r="I82" s="221"/>
      <c r="J82" s="221"/>
      <c r="K82" s="221"/>
      <c r="L82" s="221"/>
      <c r="M82" s="221"/>
      <c r="N82" s="221"/>
      <c r="O82" s="221"/>
      <c r="P82" s="221"/>
      <c r="Q82" s="221"/>
      <c r="R82" s="221"/>
      <c r="S82" s="221">
        <v>4589</v>
      </c>
      <c r="T82" s="221"/>
      <c r="U82" s="221"/>
      <c r="V82" s="221"/>
      <c r="W82" s="221"/>
      <c r="X82" s="221"/>
      <c r="Y82" s="221"/>
      <c r="Z82" s="221"/>
      <c r="AA82" s="221"/>
      <c r="AB82" s="221"/>
      <c r="AC82" s="221">
        <v>4145</v>
      </c>
      <c r="AD82" s="221">
        <v>1210</v>
      </c>
    </row>
    <row r="83" spans="1:34" ht="30" customHeight="1">
      <c r="A83" s="219"/>
      <c r="B83" s="222" t="s">
        <v>265</v>
      </c>
      <c r="C83" s="218">
        <f t="shared" ref="C83" si="21">D83+AD83</f>
        <v>60</v>
      </c>
      <c r="D83" s="218">
        <f t="shared" ref="D83" si="22">SUM(E83:AC83)</f>
        <v>60</v>
      </c>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v>60</v>
      </c>
      <c r="AD83" s="221"/>
    </row>
    <row r="84" spans="1:34" ht="18.649999999999999" customHeight="1">
      <c r="A84" s="216" t="s">
        <v>95</v>
      </c>
      <c r="B84" s="217" t="s">
        <v>14</v>
      </c>
      <c r="C84" s="218">
        <f t="shared" ref="C84:C87" si="23">D84+AD84</f>
        <v>14694</v>
      </c>
      <c r="D84" s="218">
        <f>SUM(E84:AC84)</f>
        <v>12854.755102040817</v>
      </c>
      <c r="E84" s="218"/>
      <c r="F84" s="218"/>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f>14694-AD84</f>
        <v>12854.755102040817</v>
      </c>
      <c r="AD84" s="218">
        <f>'Chi xã, TT 2023'!C41</f>
        <v>1839.2448979591834</v>
      </c>
      <c r="AE84" s="15">
        <f>14574-341</f>
        <v>14233</v>
      </c>
      <c r="AF84" s="15">
        <f>AE84-C84</f>
        <v>-461</v>
      </c>
    </row>
    <row r="85" spans="1:34" ht="32.5" customHeight="1">
      <c r="A85" s="215" t="s">
        <v>2</v>
      </c>
      <c r="B85" s="228" t="s">
        <v>126</v>
      </c>
      <c r="C85" s="213">
        <f t="shared" si="23"/>
        <v>28</v>
      </c>
      <c r="D85" s="213">
        <f>D86</f>
        <v>28</v>
      </c>
      <c r="E85" s="213"/>
      <c r="F85" s="213"/>
      <c r="G85" s="213"/>
      <c r="H85" s="213"/>
      <c r="I85" s="213"/>
      <c r="J85" s="213"/>
      <c r="K85" s="213"/>
      <c r="L85" s="213"/>
      <c r="M85" s="213"/>
      <c r="N85" s="213"/>
      <c r="O85" s="213"/>
      <c r="P85" s="213"/>
      <c r="Q85" s="213"/>
      <c r="R85" s="213"/>
      <c r="S85" s="213"/>
      <c r="T85" s="213"/>
      <c r="U85" s="213"/>
      <c r="V85" s="213"/>
      <c r="W85" s="213"/>
      <c r="X85" s="213"/>
      <c r="Y85" s="213"/>
      <c r="Z85" s="213">
        <f>Z86</f>
        <v>28</v>
      </c>
      <c r="AA85" s="213"/>
      <c r="AB85" s="213"/>
      <c r="AC85" s="213"/>
      <c r="AD85" s="213"/>
      <c r="AE85" s="15">
        <v>144</v>
      </c>
      <c r="AF85" s="15">
        <f>AE85-C85</f>
        <v>116</v>
      </c>
    </row>
    <row r="86" spans="1:34" s="229" customFormat="1" ht="17.25" customHeight="1">
      <c r="A86" s="216" t="s">
        <v>3</v>
      </c>
      <c r="B86" s="218" t="s">
        <v>13</v>
      </c>
      <c r="C86" s="218">
        <f t="shared" si="23"/>
        <v>28</v>
      </c>
      <c r="D86" s="218">
        <f>D87</f>
        <v>28</v>
      </c>
      <c r="E86" s="218"/>
      <c r="F86" s="218"/>
      <c r="G86" s="218"/>
      <c r="H86" s="218"/>
      <c r="I86" s="218"/>
      <c r="J86" s="218"/>
      <c r="K86" s="218"/>
      <c r="L86" s="218"/>
      <c r="M86" s="218"/>
      <c r="N86" s="218"/>
      <c r="O86" s="218"/>
      <c r="P86" s="218"/>
      <c r="Q86" s="218"/>
      <c r="R86" s="218"/>
      <c r="S86" s="218"/>
      <c r="T86" s="218"/>
      <c r="U86" s="218"/>
      <c r="V86" s="218"/>
      <c r="W86" s="218"/>
      <c r="X86" s="218"/>
      <c r="Y86" s="218"/>
      <c r="Z86" s="218">
        <f>Z87</f>
        <v>28</v>
      </c>
      <c r="AA86" s="218"/>
      <c r="AB86" s="218"/>
      <c r="AC86" s="218"/>
      <c r="AD86" s="218"/>
    </row>
    <row r="87" spans="1:34" ht="17.25" customHeight="1">
      <c r="A87" s="219">
        <v>1</v>
      </c>
      <c r="B87" s="220" t="s">
        <v>96</v>
      </c>
      <c r="C87" s="218">
        <f t="shared" si="23"/>
        <v>28</v>
      </c>
      <c r="D87" s="218">
        <f>SUM(E87:AC87)</f>
        <v>28</v>
      </c>
      <c r="E87" s="221"/>
      <c r="F87" s="221"/>
      <c r="G87" s="221"/>
      <c r="H87" s="221"/>
      <c r="I87" s="221"/>
      <c r="J87" s="221"/>
      <c r="K87" s="221"/>
      <c r="L87" s="221"/>
      <c r="M87" s="221"/>
      <c r="N87" s="221"/>
      <c r="O87" s="221"/>
      <c r="P87" s="221"/>
      <c r="Q87" s="221"/>
      <c r="R87" s="224"/>
      <c r="S87" s="221"/>
      <c r="T87" s="221"/>
      <c r="U87" s="221"/>
      <c r="V87" s="221"/>
      <c r="W87" s="221"/>
      <c r="X87" s="221"/>
      <c r="Y87" s="221"/>
      <c r="Z87" s="221">
        <v>28</v>
      </c>
      <c r="AA87" s="221"/>
      <c r="AB87" s="221"/>
      <c r="AC87" s="221"/>
      <c r="AD87" s="221"/>
    </row>
    <row r="88" spans="1:34" ht="6.75" hidden="1" customHeight="1">
      <c r="A88" s="230"/>
      <c r="B88" s="231"/>
      <c r="C88" s="229"/>
      <c r="D88" s="229"/>
      <c r="E88" s="227"/>
      <c r="F88" s="227"/>
      <c r="G88" s="227"/>
      <c r="H88" s="227"/>
      <c r="I88" s="227"/>
      <c r="J88" s="227"/>
      <c r="K88" s="227"/>
      <c r="L88" s="227"/>
      <c r="M88" s="227"/>
      <c r="N88" s="227"/>
      <c r="O88" s="227"/>
      <c r="P88" s="227"/>
      <c r="Q88" s="227"/>
      <c r="R88" s="232"/>
      <c r="S88" s="227"/>
      <c r="T88" s="227"/>
      <c r="U88" s="227"/>
      <c r="V88" s="227"/>
      <c r="W88" s="227"/>
      <c r="X88" s="227"/>
      <c r="Y88" s="227"/>
      <c r="Z88" s="227"/>
      <c r="AA88" s="227"/>
      <c r="AB88" s="227"/>
      <c r="AC88" s="227"/>
      <c r="AD88" s="227"/>
    </row>
    <row r="89" spans="1:34" ht="21" hidden="1" customHeight="1">
      <c r="A89" s="15"/>
      <c r="B89" s="233" t="s">
        <v>244</v>
      </c>
      <c r="AE89" s="8"/>
      <c r="AF89" s="8"/>
      <c r="AG89" s="8"/>
      <c r="AH89" s="8"/>
    </row>
    <row r="90" spans="1:34" s="40" customFormat="1" ht="15" hidden="1" customHeight="1">
      <c r="A90" s="234"/>
      <c r="B90" s="40" t="s">
        <v>253</v>
      </c>
      <c r="AE90" s="235"/>
      <c r="AF90" s="235"/>
      <c r="AG90" s="235"/>
      <c r="AH90" s="235"/>
    </row>
    <row r="91" spans="1:34" s="40" customFormat="1" ht="15" hidden="1" customHeight="1">
      <c r="A91" s="234"/>
      <c r="B91" s="40" t="s">
        <v>220</v>
      </c>
      <c r="AE91" s="235"/>
      <c r="AF91" s="235"/>
      <c r="AG91" s="235"/>
      <c r="AH91" s="235"/>
    </row>
    <row r="92" spans="1:34" s="40" customFormat="1" ht="15" hidden="1" customHeight="1">
      <c r="A92" s="234"/>
      <c r="B92" s="40" t="s">
        <v>221</v>
      </c>
      <c r="AE92" s="235"/>
      <c r="AF92" s="235"/>
      <c r="AG92" s="235"/>
      <c r="AH92" s="235"/>
    </row>
    <row r="93" spans="1:34" s="40" customFormat="1" ht="28.5" hidden="1" customHeight="1">
      <c r="A93" s="234"/>
      <c r="B93" s="398" t="s">
        <v>243</v>
      </c>
      <c r="C93" s="398"/>
      <c r="D93" s="398"/>
      <c r="E93" s="398"/>
      <c r="F93" s="398"/>
      <c r="G93" s="398"/>
      <c r="H93" s="398"/>
      <c r="I93" s="398"/>
      <c r="J93" s="398"/>
      <c r="K93" s="398"/>
      <c r="L93" s="398"/>
      <c r="M93" s="398"/>
      <c r="N93" s="398"/>
      <c r="O93" s="398"/>
      <c r="P93" s="398"/>
      <c r="Q93" s="398"/>
      <c r="R93" s="398"/>
      <c r="S93" s="398"/>
      <c r="T93" s="398"/>
      <c r="U93" s="398"/>
      <c r="V93" s="398"/>
      <c r="W93" s="398"/>
      <c r="X93" s="398"/>
      <c r="Y93" s="398"/>
      <c r="Z93" s="398"/>
      <c r="AA93" s="398"/>
      <c r="AB93" s="398"/>
      <c r="AC93" s="398"/>
      <c r="AD93" s="398"/>
      <c r="AE93" s="235"/>
      <c r="AF93" s="235"/>
      <c r="AG93" s="235"/>
      <c r="AH93" s="235"/>
    </row>
    <row r="94" spans="1:34" s="40" customFormat="1" ht="15" hidden="1" customHeight="1">
      <c r="A94" s="234"/>
      <c r="B94" s="40" t="s">
        <v>222</v>
      </c>
      <c r="AE94" s="235"/>
      <c r="AF94" s="235"/>
      <c r="AG94" s="235"/>
      <c r="AH94" s="235"/>
    </row>
    <row r="95" spans="1:34" s="40" customFormat="1" ht="29.25" hidden="1" customHeight="1">
      <c r="A95" s="234"/>
      <c r="B95" s="398" t="s">
        <v>223</v>
      </c>
      <c r="C95" s="398"/>
      <c r="D95" s="398"/>
      <c r="E95" s="398"/>
      <c r="F95" s="398"/>
      <c r="G95" s="398"/>
      <c r="H95" s="398"/>
      <c r="I95" s="398"/>
      <c r="J95" s="398"/>
      <c r="K95" s="398"/>
      <c r="L95" s="398"/>
      <c r="M95" s="398"/>
      <c r="N95" s="398"/>
      <c r="O95" s="398"/>
      <c r="P95" s="398"/>
      <c r="Q95" s="398"/>
      <c r="R95" s="398"/>
      <c r="S95" s="398"/>
      <c r="T95" s="398"/>
      <c r="U95" s="398"/>
      <c r="V95" s="398"/>
      <c r="W95" s="398"/>
      <c r="X95" s="398"/>
      <c r="Y95" s="398"/>
      <c r="Z95" s="398"/>
      <c r="AA95" s="398"/>
      <c r="AB95" s="398"/>
      <c r="AC95" s="398"/>
      <c r="AD95" s="398"/>
      <c r="AE95" s="235"/>
      <c r="AF95" s="235"/>
      <c r="AG95" s="235"/>
      <c r="AH95" s="235"/>
    </row>
    <row r="96" spans="1:34" s="40" customFormat="1" ht="15" hidden="1" customHeight="1">
      <c r="A96" s="234"/>
      <c r="B96" s="40" t="s">
        <v>227</v>
      </c>
      <c r="AE96" s="235"/>
      <c r="AF96" s="235"/>
      <c r="AG96" s="235"/>
      <c r="AH96" s="235"/>
    </row>
    <row r="97" spans="1:34" s="40" customFormat="1" ht="15" hidden="1" customHeight="1">
      <c r="A97" s="234"/>
      <c r="B97" s="40" t="s">
        <v>224</v>
      </c>
      <c r="AE97" s="235"/>
      <c r="AF97" s="235"/>
      <c r="AG97" s="235"/>
      <c r="AH97" s="235"/>
    </row>
    <row r="98" spans="1:34" s="40" customFormat="1" ht="15" hidden="1" customHeight="1">
      <c r="A98" s="234"/>
      <c r="B98" s="40" t="s">
        <v>225</v>
      </c>
      <c r="AE98" s="235"/>
      <c r="AF98" s="235"/>
      <c r="AG98" s="235"/>
      <c r="AH98" s="235"/>
    </row>
    <row r="99" spans="1:34" s="40" customFormat="1" ht="15" hidden="1" customHeight="1">
      <c r="A99" s="234"/>
      <c r="B99" s="40" t="s">
        <v>226</v>
      </c>
      <c r="AE99" s="235"/>
      <c r="AF99" s="235"/>
      <c r="AG99" s="235"/>
      <c r="AH99" s="235"/>
    </row>
    <row r="100" spans="1:34" s="40" customFormat="1" ht="15" hidden="1" customHeight="1">
      <c r="A100" s="234"/>
      <c r="B100" s="40" t="s">
        <v>228</v>
      </c>
      <c r="AE100" s="235"/>
      <c r="AF100" s="235"/>
      <c r="AG100" s="235"/>
      <c r="AH100" s="235"/>
    </row>
    <row r="101" spans="1:34" s="40" customFormat="1" ht="15" hidden="1" customHeight="1">
      <c r="A101" s="234"/>
      <c r="B101" s="40" t="s">
        <v>242</v>
      </c>
      <c r="AE101" s="235"/>
      <c r="AF101" s="235"/>
      <c r="AG101" s="235"/>
      <c r="AH101" s="235"/>
    </row>
    <row r="102" spans="1:34" s="40" customFormat="1" ht="29.25" hidden="1" customHeight="1">
      <c r="A102" s="234"/>
      <c r="B102" s="398" t="s">
        <v>229</v>
      </c>
      <c r="C102" s="398"/>
      <c r="D102" s="398"/>
      <c r="E102" s="398"/>
      <c r="F102" s="398"/>
      <c r="G102" s="398"/>
      <c r="H102" s="398"/>
      <c r="I102" s="398"/>
      <c r="J102" s="398"/>
      <c r="K102" s="398"/>
      <c r="L102" s="398"/>
      <c r="M102" s="398"/>
      <c r="N102" s="398"/>
      <c r="O102" s="398"/>
      <c r="P102" s="398"/>
      <c r="Q102" s="398"/>
      <c r="R102" s="398"/>
      <c r="S102" s="398"/>
      <c r="T102" s="398"/>
      <c r="U102" s="398"/>
      <c r="V102" s="398"/>
      <c r="W102" s="398"/>
      <c r="X102" s="398"/>
      <c r="Y102" s="398"/>
      <c r="Z102" s="398"/>
      <c r="AA102" s="398"/>
      <c r="AB102" s="398"/>
      <c r="AC102" s="398"/>
      <c r="AD102" s="398"/>
      <c r="AE102" s="235"/>
      <c r="AF102" s="235"/>
      <c r="AG102" s="235"/>
      <c r="AH102" s="235"/>
    </row>
    <row r="103" spans="1:34" s="40" customFormat="1" ht="29.25" hidden="1" customHeight="1">
      <c r="A103" s="234"/>
      <c r="B103" s="398" t="s">
        <v>230</v>
      </c>
      <c r="C103" s="398"/>
      <c r="D103" s="398"/>
      <c r="E103" s="398"/>
      <c r="F103" s="398"/>
      <c r="G103" s="398"/>
      <c r="H103" s="398"/>
      <c r="I103" s="398"/>
      <c r="J103" s="398"/>
      <c r="K103" s="398"/>
      <c r="L103" s="398"/>
      <c r="M103" s="398"/>
      <c r="N103" s="398"/>
      <c r="O103" s="398"/>
      <c r="P103" s="398"/>
      <c r="Q103" s="398"/>
      <c r="R103" s="398"/>
      <c r="S103" s="398"/>
      <c r="T103" s="398"/>
      <c r="U103" s="398"/>
      <c r="V103" s="398"/>
      <c r="W103" s="398"/>
      <c r="X103" s="398"/>
      <c r="Y103" s="398"/>
      <c r="Z103" s="398"/>
      <c r="AA103" s="398"/>
      <c r="AB103" s="398"/>
      <c r="AC103" s="398"/>
      <c r="AD103" s="398"/>
      <c r="AE103" s="235"/>
      <c r="AF103" s="235"/>
      <c r="AG103" s="235"/>
      <c r="AH103" s="235"/>
    </row>
    <row r="104" spans="1:34" s="40" customFormat="1" ht="15" hidden="1" customHeight="1">
      <c r="A104" s="234"/>
      <c r="B104" s="40" t="s">
        <v>245</v>
      </c>
      <c r="AE104" s="235"/>
      <c r="AF104" s="235"/>
      <c r="AG104" s="235"/>
      <c r="AH104" s="235"/>
    </row>
    <row r="105" spans="1:34" s="40" customFormat="1" ht="15" hidden="1" customHeight="1">
      <c r="A105" s="234"/>
      <c r="B105" s="40" t="s">
        <v>231</v>
      </c>
      <c r="AE105" s="235"/>
      <c r="AF105" s="235"/>
      <c r="AG105" s="235"/>
      <c r="AH105" s="235"/>
    </row>
    <row r="106" spans="1:34" s="40" customFormat="1" ht="15" hidden="1" customHeight="1">
      <c r="A106" s="234"/>
      <c r="B106" s="40" t="s">
        <v>234</v>
      </c>
      <c r="AE106" s="235"/>
      <c r="AF106" s="235"/>
      <c r="AG106" s="235"/>
      <c r="AH106" s="235"/>
    </row>
    <row r="107" spans="1:34" s="40" customFormat="1" ht="15" hidden="1" customHeight="1">
      <c r="A107" s="234"/>
      <c r="B107" s="40" t="s">
        <v>235</v>
      </c>
      <c r="AE107" s="235"/>
      <c r="AF107" s="235"/>
      <c r="AG107" s="235"/>
      <c r="AH107" s="235"/>
    </row>
    <row r="108" spans="1:34" s="40" customFormat="1" ht="15" hidden="1" customHeight="1">
      <c r="A108" s="234"/>
      <c r="B108" s="40" t="s">
        <v>236</v>
      </c>
      <c r="AE108" s="235"/>
      <c r="AF108" s="235"/>
      <c r="AG108" s="235"/>
      <c r="AH108" s="235"/>
    </row>
    <row r="109" spans="1:34" s="40" customFormat="1" ht="15" hidden="1" customHeight="1">
      <c r="A109" s="234"/>
      <c r="B109" s="40" t="s">
        <v>237</v>
      </c>
      <c r="AE109" s="235"/>
      <c r="AF109" s="235"/>
      <c r="AG109" s="235"/>
      <c r="AH109" s="235"/>
    </row>
    <row r="110" spans="1:34" s="40" customFormat="1" ht="15" hidden="1" customHeight="1">
      <c r="A110" s="234"/>
      <c r="B110" s="40" t="s">
        <v>238</v>
      </c>
      <c r="AE110" s="235"/>
      <c r="AF110" s="235"/>
      <c r="AG110" s="235"/>
      <c r="AH110" s="235"/>
    </row>
    <row r="111" spans="1:34" s="40" customFormat="1" ht="15" hidden="1" customHeight="1">
      <c r="A111" s="234"/>
      <c r="B111" s="40" t="s">
        <v>239</v>
      </c>
      <c r="AE111" s="235"/>
      <c r="AF111" s="235"/>
      <c r="AG111" s="235"/>
      <c r="AH111" s="235"/>
    </row>
    <row r="112" spans="1:34" s="40" customFormat="1" ht="15" hidden="1" customHeight="1">
      <c r="A112" s="234"/>
      <c r="B112" s="40" t="s">
        <v>232</v>
      </c>
      <c r="AE112" s="235"/>
      <c r="AF112" s="235"/>
      <c r="AG112" s="235"/>
      <c r="AH112" s="235"/>
    </row>
    <row r="113" spans="1:34" s="40" customFormat="1" ht="15" hidden="1" customHeight="1">
      <c r="A113" s="234"/>
      <c r="B113" s="40" t="s">
        <v>233</v>
      </c>
      <c r="AE113" s="235"/>
      <c r="AF113" s="235"/>
      <c r="AG113" s="235"/>
      <c r="AH113" s="235"/>
    </row>
    <row r="114" spans="1:34" s="40" customFormat="1" ht="15" hidden="1" customHeight="1">
      <c r="A114" s="234"/>
      <c r="B114" s="40" t="s">
        <v>240</v>
      </c>
      <c r="AE114" s="235"/>
      <c r="AF114" s="235"/>
      <c r="AG114" s="235"/>
      <c r="AH114" s="235"/>
    </row>
    <row r="115" spans="1:34" s="40" customFormat="1" ht="15" hidden="1" customHeight="1">
      <c r="A115" s="234"/>
      <c r="B115" s="40" t="s">
        <v>241</v>
      </c>
      <c r="AE115" s="235"/>
      <c r="AF115" s="235"/>
      <c r="AG115" s="235"/>
      <c r="AH115" s="235"/>
    </row>
    <row r="116" spans="1:34" s="40" customFormat="1" ht="29.25" hidden="1" customHeight="1">
      <c r="A116" s="234"/>
      <c r="B116" s="398" t="s">
        <v>249</v>
      </c>
      <c r="C116" s="398"/>
      <c r="D116" s="398"/>
      <c r="E116" s="398"/>
      <c r="F116" s="398"/>
      <c r="G116" s="398"/>
      <c r="H116" s="398"/>
      <c r="I116" s="398"/>
      <c r="J116" s="398"/>
      <c r="K116" s="398"/>
      <c r="L116" s="398"/>
      <c r="M116" s="398"/>
      <c r="N116" s="398"/>
      <c r="O116" s="398"/>
      <c r="P116" s="398"/>
      <c r="Q116" s="398"/>
      <c r="R116" s="398"/>
      <c r="S116" s="398"/>
      <c r="T116" s="398"/>
      <c r="U116" s="398"/>
      <c r="V116" s="398"/>
      <c r="W116" s="398"/>
      <c r="X116" s="398"/>
      <c r="Y116" s="398"/>
      <c r="Z116" s="398"/>
      <c r="AA116" s="398"/>
      <c r="AB116" s="398"/>
      <c r="AC116" s="398"/>
      <c r="AD116" s="398"/>
      <c r="AE116" s="235"/>
      <c r="AF116" s="235"/>
      <c r="AG116" s="235"/>
      <c r="AH116" s="235"/>
    </row>
    <row r="117" spans="1:34" s="40" customFormat="1" ht="15" hidden="1" customHeight="1">
      <c r="A117" s="234"/>
      <c r="B117" s="40" t="s">
        <v>250</v>
      </c>
      <c r="AE117" s="235"/>
      <c r="AF117" s="235"/>
      <c r="AG117" s="235"/>
      <c r="AH117" s="235"/>
    </row>
    <row r="118" spans="1:34" s="40" customFormat="1" ht="15" hidden="1" customHeight="1">
      <c r="A118" s="234"/>
      <c r="B118" s="40" t="s">
        <v>246</v>
      </c>
      <c r="AE118" s="235"/>
      <c r="AF118" s="235"/>
      <c r="AG118" s="235"/>
      <c r="AH118" s="235"/>
    </row>
    <row r="119" spans="1:34" s="40" customFormat="1" ht="15" hidden="1" customHeight="1">
      <c r="A119" s="234"/>
      <c r="B119" s="40" t="s">
        <v>247</v>
      </c>
      <c r="AE119" s="235"/>
      <c r="AF119" s="235"/>
      <c r="AG119" s="235"/>
      <c r="AH119" s="235"/>
    </row>
    <row r="120" spans="1:34" s="40" customFormat="1" ht="15" hidden="1" customHeight="1">
      <c r="A120" s="234"/>
      <c r="B120" s="40" t="s">
        <v>248</v>
      </c>
      <c r="AE120" s="235"/>
      <c r="AF120" s="235"/>
      <c r="AG120" s="235"/>
      <c r="AH120" s="235"/>
    </row>
    <row r="121" spans="1:34" hidden="1">
      <c r="A121" s="236"/>
      <c r="AE121" s="8"/>
      <c r="AF121" s="8"/>
      <c r="AG121" s="8"/>
      <c r="AH121" s="8"/>
    </row>
    <row r="122" spans="1:34" hidden="1">
      <c r="A122" s="236"/>
      <c r="AE122" s="8"/>
      <c r="AF122" s="8"/>
      <c r="AG122" s="8"/>
      <c r="AH122" s="8"/>
    </row>
    <row r="123" spans="1:34" hidden="1">
      <c r="A123" s="236"/>
      <c r="AE123" s="8"/>
      <c r="AF123" s="8"/>
      <c r="AG123" s="8"/>
      <c r="AH123" s="8"/>
    </row>
    <row r="124" spans="1:34">
      <c r="A124" s="236"/>
      <c r="AE124" s="8"/>
      <c r="AF124" s="8"/>
      <c r="AG124" s="8"/>
      <c r="AH124" s="8"/>
    </row>
    <row r="125" spans="1:34">
      <c r="A125" s="236"/>
      <c r="AE125" s="8"/>
      <c r="AF125" s="8"/>
      <c r="AG125" s="8"/>
      <c r="AH125" s="8"/>
    </row>
    <row r="126" spans="1:34">
      <c r="A126" s="236"/>
      <c r="AE126" s="8"/>
      <c r="AF126" s="8"/>
      <c r="AG126" s="8"/>
      <c r="AH126" s="8"/>
    </row>
    <row r="127" spans="1:34">
      <c r="A127" s="236"/>
      <c r="AE127" s="8"/>
      <c r="AF127" s="8"/>
      <c r="AG127" s="8"/>
      <c r="AH127" s="8"/>
    </row>
    <row r="128" spans="1:34">
      <c r="A128" s="236"/>
      <c r="AE128" s="8"/>
      <c r="AF128" s="8"/>
      <c r="AG128" s="8"/>
      <c r="AH128" s="8"/>
    </row>
    <row r="129" spans="1:34" s="40" customFormat="1" ht="13">
      <c r="A129" s="234"/>
      <c r="AE129" s="235"/>
      <c r="AF129" s="235"/>
      <c r="AG129" s="235"/>
      <c r="AH129" s="235"/>
    </row>
    <row r="130" spans="1:34" s="40" customFormat="1" ht="13">
      <c r="A130" s="234"/>
      <c r="AE130" s="235"/>
      <c r="AF130" s="235"/>
      <c r="AG130" s="235"/>
      <c r="AH130" s="235"/>
    </row>
    <row r="131" spans="1:34" s="40" customFormat="1" ht="13">
      <c r="A131" s="234"/>
      <c r="AE131" s="235"/>
      <c r="AF131" s="235"/>
      <c r="AG131" s="235"/>
      <c r="AH131" s="235"/>
    </row>
    <row r="132" spans="1:34" s="40" customFormat="1" ht="13">
      <c r="A132" s="234"/>
      <c r="AE132" s="235"/>
      <c r="AF132" s="235"/>
      <c r="AG132" s="235"/>
      <c r="AH132" s="235"/>
    </row>
  </sheetData>
  <mergeCells count="9">
    <mergeCell ref="AB1:AD1"/>
    <mergeCell ref="B116:AD116"/>
    <mergeCell ref="B102:AD102"/>
    <mergeCell ref="B95:AD95"/>
    <mergeCell ref="A3:AD3"/>
    <mergeCell ref="A2:AD2"/>
    <mergeCell ref="AB4:AD4"/>
    <mergeCell ref="B93:AD93"/>
    <mergeCell ref="B103:AD103"/>
  </mergeCells>
  <pageMargins left="0.23622047244094491" right="0.19685039370078741" top="0.43307086614173229" bottom="0.86614173228346458" header="0.23622047244094491" footer="0.31496062992125984"/>
  <pageSetup paperSize="9" scale="68" orientation="landscape" r:id="rId1"/>
  <colBreaks count="1" manualBreakCount="1">
    <brk id="32"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CC"/>
    <pageSetUpPr fitToPage="1"/>
  </sheetPr>
  <dimension ref="A1:AH52"/>
  <sheetViews>
    <sheetView zoomScale="70" zoomScaleNormal="70" workbookViewId="0">
      <selection activeCell="AB23" sqref="AB23"/>
    </sheetView>
  </sheetViews>
  <sheetFormatPr defaultColWidth="7.453125" defaultRowHeight="15.5"/>
  <cols>
    <col min="1" max="1" width="7" style="237" customWidth="1"/>
    <col min="2" max="2" width="53" style="238" customWidth="1"/>
    <col min="3" max="3" width="10.453125" style="239" customWidth="1"/>
    <col min="4" max="22" width="9" style="239" customWidth="1"/>
    <col min="23" max="23" width="22.1796875" style="238" customWidth="1"/>
    <col min="24" max="16384" width="7.453125" style="238"/>
  </cols>
  <sheetData>
    <row r="1" spans="1:25" ht="18" customHeight="1">
      <c r="U1" s="376" t="s">
        <v>382</v>
      </c>
      <c r="V1" s="376"/>
    </row>
    <row r="2" spans="1:25" ht="18.75" customHeight="1">
      <c r="A2" s="403" t="s">
        <v>283</v>
      </c>
      <c r="B2" s="403"/>
      <c r="C2" s="403"/>
      <c r="D2" s="403"/>
      <c r="E2" s="403"/>
      <c r="F2" s="403"/>
      <c r="G2" s="403"/>
      <c r="H2" s="403"/>
      <c r="I2" s="403"/>
      <c r="J2" s="403"/>
      <c r="K2" s="403"/>
      <c r="L2" s="403"/>
      <c r="M2" s="403"/>
      <c r="N2" s="403"/>
      <c r="O2" s="403"/>
      <c r="P2" s="403"/>
      <c r="Q2" s="403"/>
      <c r="R2" s="403"/>
      <c r="S2" s="403"/>
      <c r="T2" s="403"/>
      <c r="U2" s="403"/>
      <c r="V2" s="403"/>
      <c r="W2" s="240"/>
      <c r="X2" s="241"/>
      <c r="Y2" s="241"/>
    </row>
    <row r="3" spans="1:25">
      <c r="A3" s="404" t="str">
        <f>'Thu 2022'!A3:I3</f>
        <v>(Kèm theo Báo cáo số            /BC-UBND ngày       tháng 12 năm 2022 của UBND huyện Tuần Giáo)</v>
      </c>
      <c r="B3" s="404"/>
      <c r="C3" s="404"/>
      <c r="D3" s="404"/>
      <c r="E3" s="404"/>
      <c r="F3" s="404"/>
      <c r="G3" s="404"/>
      <c r="H3" s="404"/>
      <c r="I3" s="404"/>
      <c r="J3" s="404"/>
      <c r="K3" s="404"/>
      <c r="L3" s="404"/>
      <c r="M3" s="404"/>
      <c r="N3" s="404"/>
      <c r="O3" s="404"/>
      <c r="P3" s="404"/>
      <c r="Q3" s="404"/>
      <c r="R3" s="404"/>
      <c r="S3" s="404"/>
      <c r="T3" s="404"/>
      <c r="U3" s="404"/>
      <c r="V3" s="404"/>
      <c r="W3" s="242"/>
      <c r="X3" s="241"/>
      <c r="Y3" s="241"/>
    </row>
    <row r="4" spans="1:25" ht="18.75" customHeight="1">
      <c r="A4" s="243"/>
      <c r="B4" s="244"/>
      <c r="C4" s="245"/>
      <c r="T4" s="402" t="s">
        <v>102</v>
      </c>
      <c r="U4" s="402"/>
      <c r="V4" s="402"/>
    </row>
    <row r="5" spans="1:25" s="244" customFormat="1" ht="50.25" customHeight="1">
      <c r="A5" s="246" t="s">
        <v>0</v>
      </c>
      <c r="B5" s="247" t="s">
        <v>97</v>
      </c>
      <c r="C5" s="246" t="s">
        <v>45</v>
      </c>
      <c r="D5" s="248" t="s">
        <v>215</v>
      </c>
      <c r="E5" s="248" t="s">
        <v>149</v>
      </c>
      <c r="F5" s="248" t="s">
        <v>150</v>
      </c>
      <c r="G5" s="248" t="s">
        <v>151</v>
      </c>
      <c r="H5" s="248" t="s">
        <v>152</v>
      </c>
      <c r="I5" s="248" t="s">
        <v>153</v>
      </c>
      <c r="J5" s="248" t="s">
        <v>154</v>
      </c>
      <c r="K5" s="248" t="s">
        <v>155</v>
      </c>
      <c r="L5" s="248" t="s">
        <v>156</v>
      </c>
      <c r="M5" s="248" t="s">
        <v>157</v>
      </c>
      <c r="N5" s="248" t="s">
        <v>158</v>
      </c>
      <c r="O5" s="248" t="s">
        <v>159</v>
      </c>
      <c r="P5" s="248" t="s">
        <v>160</v>
      </c>
      <c r="Q5" s="248" t="s">
        <v>161</v>
      </c>
      <c r="R5" s="248" t="s">
        <v>162</v>
      </c>
      <c r="S5" s="248" t="s">
        <v>163</v>
      </c>
      <c r="T5" s="248" t="s">
        <v>164</v>
      </c>
      <c r="U5" s="248" t="s">
        <v>165</v>
      </c>
      <c r="V5" s="248" t="s">
        <v>166</v>
      </c>
    </row>
    <row r="6" spans="1:25" s="244" customFormat="1" ht="18" customHeight="1">
      <c r="A6" s="246" t="s">
        <v>167</v>
      </c>
      <c r="B6" s="249" t="s">
        <v>168</v>
      </c>
      <c r="C6" s="250">
        <f>SUM(D6:V6)</f>
        <v>91962.244897959186</v>
      </c>
      <c r="D6" s="250">
        <f>D7+D17</f>
        <v>6055.1020408163267</v>
      </c>
      <c r="E6" s="250">
        <f t="shared" ref="E6:V6" si="0">E7+E17</f>
        <v>4420.408163265306</v>
      </c>
      <c r="F6" s="250">
        <f t="shared" si="0"/>
        <v>4381.6326530612241</v>
      </c>
      <c r="G6" s="250">
        <f t="shared" si="0"/>
        <v>5486.7346938775509</v>
      </c>
      <c r="H6" s="250">
        <f t="shared" si="0"/>
        <v>4576.5306122448983</v>
      </c>
      <c r="I6" s="250">
        <f t="shared" si="0"/>
        <v>7862.2448979591836</v>
      </c>
      <c r="J6" s="250">
        <f t="shared" si="0"/>
        <v>5236.7346938775509</v>
      </c>
      <c r="K6" s="250">
        <f t="shared" si="0"/>
        <v>5132.6530612244896</v>
      </c>
      <c r="L6" s="250">
        <f t="shared" si="0"/>
        <v>4926.5306122448983</v>
      </c>
      <c r="M6" s="250">
        <f t="shared" si="0"/>
        <v>4355.1020408163267</v>
      </c>
      <c r="N6" s="250">
        <f t="shared" si="0"/>
        <v>4237.7551020408164</v>
      </c>
      <c r="O6" s="250">
        <f t="shared" si="0"/>
        <v>4076.5306122448978</v>
      </c>
      <c r="P6" s="250">
        <f t="shared" si="0"/>
        <v>4361.2244897959181</v>
      </c>
      <c r="Q6" s="250">
        <f t="shared" si="0"/>
        <v>4351.0204081632655</v>
      </c>
      <c r="R6" s="250">
        <f t="shared" si="0"/>
        <v>4613.2653061224491</v>
      </c>
      <c r="S6" s="250">
        <f t="shared" si="0"/>
        <v>3962.2448979591836</v>
      </c>
      <c r="T6" s="250">
        <f t="shared" si="0"/>
        <v>4425.5102040816328</v>
      </c>
      <c r="U6" s="250">
        <f t="shared" si="0"/>
        <v>5208.1632653061224</v>
      </c>
      <c r="V6" s="250">
        <f t="shared" si="0"/>
        <v>4292.8571428571431</v>
      </c>
    </row>
    <row r="7" spans="1:25" s="252" customFormat="1" ht="18" customHeight="1">
      <c r="A7" s="247" t="s">
        <v>3</v>
      </c>
      <c r="B7" s="251" t="s">
        <v>169</v>
      </c>
      <c r="C7" s="250">
        <f t="shared" ref="C7:V7" si="1">SUM(C8:C16)</f>
        <v>3980</v>
      </c>
      <c r="D7" s="250">
        <f t="shared" si="1"/>
        <v>105</v>
      </c>
      <c r="E7" s="250">
        <f t="shared" si="1"/>
        <v>28</v>
      </c>
      <c r="F7" s="250">
        <f t="shared" si="1"/>
        <v>45</v>
      </c>
      <c r="G7" s="250">
        <f t="shared" si="1"/>
        <v>95</v>
      </c>
      <c r="H7" s="250">
        <f t="shared" si="1"/>
        <v>50</v>
      </c>
      <c r="I7" s="250">
        <f t="shared" si="1"/>
        <v>3245</v>
      </c>
      <c r="J7" s="250">
        <f t="shared" si="1"/>
        <v>90</v>
      </c>
      <c r="K7" s="250">
        <f t="shared" si="1"/>
        <v>30</v>
      </c>
      <c r="L7" s="250">
        <f t="shared" si="1"/>
        <v>40</v>
      </c>
      <c r="M7" s="250">
        <f t="shared" si="1"/>
        <v>20</v>
      </c>
      <c r="N7" s="250">
        <f t="shared" si="1"/>
        <v>30</v>
      </c>
      <c r="O7" s="250">
        <f t="shared" si="1"/>
        <v>17</v>
      </c>
      <c r="P7" s="250">
        <f t="shared" si="1"/>
        <v>17</v>
      </c>
      <c r="Q7" s="250">
        <f t="shared" si="1"/>
        <v>20</v>
      </c>
      <c r="R7" s="250">
        <f t="shared" si="1"/>
        <v>15</v>
      </c>
      <c r="S7" s="250">
        <f t="shared" si="1"/>
        <v>15</v>
      </c>
      <c r="T7" s="250">
        <f t="shared" si="1"/>
        <v>23</v>
      </c>
      <c r="U7" s="250">
        <f t="shared" si="1"/>
        <v>70</v>
      </c>
      <c r="V7" s="250">
        <f t="shared" si="1"/>
        <v>25</v>
      </c>
    </row>
    <row r="8" spans="1:25" s="256" customFormat="1" ht="18" customHeight="1">
      <c r="A8" s="253" t="s">
        <v>170</v>
      </c>
      <c r="B8" s="254" t="s">
        <v>18</v>
      </c>
      <c r="C8" s="255">
        <f>SUM(D8:V8)</f>
        <v>340</v>
      </c>
      <c r="D8" s="255">
        <v>35</v>
      </c>
      <c r="E8" s="255">
        <v>0</v>
      </c>
      <c r="F8" s="255">
        <v>10</v>
      </c>
      <c r="G8" s="255">
        <v>20</v>
      </c>
      <c r="H8" s="255">
        <v>5</v>
      </c>
      <c r="I8" s="255">
        <v>225</v>
      </c>
      <c r="J8" s="255">
        <v>25</v>
      </c>
      <c r="K8" s="255">
        <v>0</v>
      </c>
      <c r="L8" s="255">
        <v>10</v>
      </c>
      <c r="M8" s="255">
        <v>0</v>
      </c>
      <c r="N8" s="255">
        <v>0</v>
      </c>
      <c r="O8" s="255">
        <v>0</v>
      </c>
      <c r="P8" s="255">
        <v>0</v>
      </c>
      <c r="Q8" s="255">
        <v>0</v>
      </c>
      <c r="R8" s="255">
        <v>0</v>
      </c>
      <c r="S8" s="255">
        <v>0</v>
      </c>
      <c r="T8" s="255">
        <v>0</v>
      </c>
      <c r="U8" s="255">
        <v>10</v>
      </c>
      <c r="V8" s="255">
        <v>0</v>
      </c>
    </row>
    <row r="9" spans="1:25" s="256" customFormat="1" ht="18" customHeight="1">
      <c r="A9" s="253" t="s">
        <v>171</v>
      </c>
      <c r="B9" s="254" t="s">
        <v>105</v>
      </c>
      <c r="C9" s="255">
        <f t="shared" ref="C9:C16" si="2">SUM(D9:V9)</f>
        <v>80</v>
      </c>
      <c r="D9" s="255">
        <v>0</v>
      </c>
      <c r="E9" s="255">
        <v>0</v>
      </c>
      <c r="F9" s="255">
        <v>0</v>
      </c>
      <c r="G9" s="255">
        <v>0</v>
      </c>
      <c r="H9" s="255">
        <v>0</v>
      </c>
      <c r="I9" s="255">
        <v>80</v>
      </c>
      <c r="J9" s="255">
        <v>0</v>
      </c>
      <c r="K9" s="255">
        <v>0</v>
      </c>
      <c r="L9" s="255">
        <v>0</v>
      </c>
      <c r="M9" s="255">
        <v>0</v>
      </c>
      <c r="N9" s="255">
        <v>0</v>
      </c>
      <c r="O9" s="255">
        <v>0</v>
      </c>
      <c r="P9" s="255">
        <v>0</v>
      </c>
      <c r="Q9" s="255">
        <v>0</v>
      </c>
      <c r="R9" s="255">
        <v>0</v>
      </c>
      <c r="S9" s="255">
        <v>0</v>
      </c>
      <c r="T9" s="255">
        <v>0</v>
      </c>
      <c r="U9" s="255">
        <v>0</v>
      </c>
      <c r="V9" s="255">
        <v>0</v>
      </c>
    </row>
    <row r="10" spans="1:25" s="256" customFormat="1" ht="18" customHeight="1">
      <c r="A10" s="253" t="s">
        <v>172</v>
      </c>
      <c r="B10" s="254" t="s">
        <v>22</v>
      </c>
      <c r="C10" s="255">
        <f t="shared" si="2"/>
        <v>0</v>
      </c>
      <c r="D10" s="255">
        <v>0</v>
      </c>
      <c r="E10" s="255">
        <v>0</v>
      </c>
      <c r="F10" s="255">
        <v>0</v>
      </c>
      <c r="G10" s="255">
        <v>0</v>
      </c>
      <c r="H10" s="255">
        <v>0</v>
      </c>
      <c r="I10" s="255">
        <v>0</v>
      </c>
      <c r="J10" s="255">
        <v>0</v>
      </c>
      <c r="K10" s="255">
        <v>0</v>
      </c>
      <c r="L10" s="255">
        <v>0</v>
      </c>
      <c r="M10" s="255">
        <v>0</v>
      </c>
      <c r="N10" s="255">
        <v>0</v>
      </c>
      <c r="O10" s="255">
        <v>0</v>
      </c>
      <c r="P10" s="255">
        <v>0</v>
      </c>
      <c r="Q10" s="255">
        <v>0</v>
      </c>
      <c r="R10" s="255">
        <v>0</v>
      </c>
      <c r="S10" s="255">
        <v>0</v>
      </c>
      <c r="T10" s="255">
        <v>0</v>
      </c>
      <c r="U10" s="255">
        <v>0</v>
      </c>
      <c r="V10" s="255">
        <v>0</v>
      </c>
    </row>
    <row r="11" spans="1:25" s="256" customFormat="1" ht="18" customHeight="1">
      <c r="A11" s="253"/>
      <c r="B11" s="254" t="s">
        <v>173</v>
      </c>
      <c r="C11" s="255">
        <f t="shared" si="2"/>
        <v>472</v>
      </c>
      <c r="D11" s="255">
        <v>30</v>
      </c>
      <c r="E11" s="255">
        <v>20</v>
      </c>
      <c r="F11" s="255">
        <v>20</v>
      </c>
      <c r="G11" s="255">
        <v>40</v>
      </c>
      <c r="H11" s="255">
        <v>25</v>
      </c>
      <c r="I11" s="255">
        <v>100</v>
      </c>
      <c r="J11" s="255">
        <v>25</v>
      </c>
      <c r="K11" s="255">
        <v>25</v>
      </c>
      <c r="L11" s="255">
        <v>18</v>
      </c>
      <c r="M11" s="255">
        <v>16</v>
      </c>
      <c r="N11" s="255">
        <v>28</v>
      </c>
      <c r="O11" s="255">
        <v>10</v>
      </c>
      <c r="P11" s="255">
        <v>15</v>
      </c>
      <c r="Q11" s="255">
        <v>15</v>
      </c>
      <c r="R11" s="255">
        <v>10</v>
      </c>
      <c r="S11" s="255">
        <v>10</v>
      </c>
      <c r="T11" s="255">
        <v>15</v>
      </c>
      <c r="U11" s="255">
        <v>30</v>
      </c>
      <c r="V11" s="255">
        <v>20</v>
      </c>
    </row>
    <row r="12" spans="1:25" s="256" customFormat="1" ht="18" customHeight="1">
      <c r="A12" s="253"/>
      <c r="B12" s="254" t="s">
        <v>174</v>
      </c>
      <c r="C12" s="255">
        <f t="shared" si="2"/>
        <v>140</v>
      </c>
      <c r="D12" s="255">
        <v>20</v>
      </c>
      <c r="E12" s="255">
        <v>0</v>
      </c>
      <c r="F12" s="255">
        <v>5</v>
      </c>
      <c r="G12" s="255">
        <v>10</v>
      </c>
      <c r="H12" s="255">
        <v>10</v>
      </c>
      <c r="I12" s="255">
        <v>80</v>
      </c>
      <c r="J12" s="255">
        <v>5</v>
      </c>
      <c r="K12" s="255">
        <v>0</v>
      </c>
      <c r="L12" s="255">
        <v>5</v>
      </c>
      <c r="M12" s="255">
        <v>0</v>
      </c>
      <c r="N12" s="255">
        <v>0</v>
      </c>
      <c r="O12" s="255">
        <v>0</v>
      </c>
      <c r="P12" s="255">
        <v>0</v>
      </c>
      <c r="Q12" s="255">
        <v>0</v>
      </c>
      <c r="R12" s="255">
        <v>0</v>
      </c>
      <c r="S12" s="255">
        <v>0</v>
      </c>
      <c r="T12" s="255">
        <v>0</v>
      </c>
      <c r="U12" s="255">
        <v>5</v>
      </c>
      <c r="V12" s="255">
        <v>0</v>
      </c>
    </row>
    <row r="13" spans="1:25" s="256" customFormat="1" ht="18" customHeight="1">
      <c r="A13" s="253" t="s">
        <v>175</v>
      </c>
      <c r="B13" s="254" t="s">
        <v>176</v>
      </c>
      <c r="C13" s="255">
        <f>SUM(D13:V13)</f>
        <v>0</v>
      </c>
      <c r="D13" s="255">
        <v>0</v>
      </c>
      <c r="E13" s="255">
        <v>0</v>
      </c>
      <c r="F13" s="255">
        <v>0</v>
      </c>
      <c r="G13" s="255">
        <v>0</v>
      </c>
      <c r="H13" s="255">
        <v>0</v>
      </c>
      <c r="I13" s="255">
        <v>0</v>
      </c>
      <c r="J13" s="255">
        <v>0</v>
      </c>
      <c r="K13" s="255">
        <v>0</v>
      </c>
      <c r="L13" s="255">
        <v>0</v>
      </c>
      <c r="M13" s="255">
        <v>0</v>
      </c>
      <c r="N13" s="255">
        <v>0</v>
      </c>
      <c r="O13" s="255">
        <v>0</v>
      </c>
      <c r="P13" s="255">
        <v>0</v>
      </c>
      <c r="Q13" s="255">
        <v>0</v>
      </c>
      <c r="R13" s="255">
        <v>0</v>
      </c>
      <c r="S13" s="255">
        <v>0</v>
      </c>
      <c r="T13" s="255">
        <v>0</v>
      </c>
      <c r="U13" s="255">
        <v>0</v>
      </c>
      <c r="V13" s="255">
        <v>0</v>
      </c>
    </row>
    <row r="14" spans="1:25" s="256" customFormat="1" ht="18" customHeight="1">
      <c r="A14" s="253"/>
      <c r="B14" s="254" t="s">
        <v>177</v>
      </c>
      <c r="C14" s="255">
        <f t="shared" si="2"/>
        <v>2700</v>
      </c>
      <c r="D14" s="255">
        <v>0</v>
      </c>
      <c r="E14" s="255">
        <v>0</v>
      </c>
      <c r="F14" s="255">
        <v>0</v>
      </c>
      <c r="G14" s="255">
        <v>0</v>
      </c>
      <c r="H14" s="255">
        <v>0</v>
      </c>
      <c r="I14" s="255">
        <f>15000*20%*90%</f>
        <v>2700</v>
      </c>
      <c r="J14" s="255">
        <v>0</v>
      </c>
      <c r="K14" s="255">
        <v>0</v>
      </c>
      <c r="L14" s="255">
        <v>0</v>
      </c>
      <c r="M14" s="255">
        <v>0</v>
      </c>
      <c r="N14" s="255">
        <v>0</v>
      </c>
      <c r="O14" s="255">
        <v>0</v>
      </c>
      <c r="P14" s="255">
        <v>0</v>
      </c>
      <c r="Q14" s="255">
        <v>0</v>
      </c>
      <c r="R14" s="255">
        <v>0</v>
      </c>
      <c r="S14" s="255">
        <v>0</v>
      </c>
      <c r="T14" s="255">
        <v>0</v>
      </c>
      <c r="U14" s="255">
        <v>0</v>
      </c>
      <c r="V14" s="255">
        <v>0</v>
      </c>
    </row>
    <row r="15" spans="1:25" s="256" customFormat="1" ht="18" customHeight="1">
      <c r="A15" s="253" t="s">
        <v>178</v>
      </c>
      <c r="B15" s="254" t="s">
        <v>21</v>
      </c>
      <c r="C15" s="255">
        <f t="shared" si="2"/>
        <v>148</v>
      </c>
      <c r="D15" s="255">
        <v>10</v>
      </c>
      <c r="E15" s="255">
        <v>3</v>
      </c>
      <c r="F15" s="255">
        <v>5</v>
      </c>
      <c r="G15" s="255">
        <v>5</v>
      </c>
      <c r="H15" s="255">
        <v>10</v>
      </c>
      <c r="I15" s="255">
        <v>50</v>
      </c>
      <c r="J15" s="255">
        <v>10</v>
      </c>
      <c r="K15" s="255">
        <v>5</v>
      </c>
      <c r="L15" s="255">
        <v>7</v>
      </c>
      <c r="M15" s="255">
        <v>4</v>
      </c>
      <c r="N15" s="255">
        <v>2</v>
      </c>
      <c r="O15" s="255">
        <v>2</v>
      </c>
      <c r="P15" s="255">
        <v>2</v>
      </c>
      <c r="Q15" s="255">
        <v>5</v>
      </c>
      <c r="R15" s="255">
        <v>5</v>
      </c>
      <c r="S15" s="255">
        <v>5</v>
      </c>
      <c r="T15" s="255">
        <v>8</v>
      </c>
      <c r="U15" s="255">
        <v>5</v>
      </c>
      <c r="V15" s="255">
        <v>5</v>
      </c>
    </row>
    <row r="16" spans="1:25" s="256" customFormat="1" ht="18" customHeight="1">
      <c r="A16" s="253" t="s">
        <v>179</v>
      </c>
      <c r="B16" s="254" t="s">
        <v>180</v>
      </c>
      <c r="C16" s="255">
        <f t="shared" si="2"/>
        <v>100</v>
      </c>
      <c r="D16" s="255">
        <v>10</v>
      </c>
      <c r="E16" s="255">
        <v>5</v>
      </c>
      <c r="F16" s="255">
        <v>5</v>
      </c>
      <c r="G16" s="255">
        <v>20</v>
      </c>
      <c r="H16" s="255">
        <v>0</v>
      </c>
      <c r="I16" s="255">
        <v>10</v>
      </c>
      <c r="J16" s="255">
        <v>25</v>
      </c>
      <c r="K16" s="255">
        <v>0</v>
      </c>
      <c r="L16" s="255">
        <v>0</v>
      </c>
      <c r="M16" s="255">
        <v>0</v>
      </c>
      <c r="N16" s="255">
        <v>0</v>
      </c>
      <c r="O16" s="255">
        <v>5</v>
      </c>
      <c r="P16" s="255">
        <v>0</v>
      </c>
      <c r="Q16" s="255">
        <v>0</v>
      </c>
      <c r="R16" s="255">
        <v>0</v>
      </c>
      <c r="S16" s="255">
        <v>0</v>
      </c>
      <c r="T16" s="255">
        <v>0</v>
      </c>
      <c r="U16" s="255">
        <v>20</v>
      </c>
      <c r="V16" s="255">
        <v>0</v>
      </c>
    </row>
    <row r="17" spans="1:22" s="252" customFormat="1" ht="18" customHeight="1">
      <c r="A17" s="246" t="s">
        <v>4</v>
      </c>
      <c r="B17" s="251" t="s">
        <v>181</v>
      </c>
      <c r="C17" s="250">
        <f t="shared" ref="C17:C31" si="3">SUM(D17:V17)</f>
        <v>87982.244897959172</v>
      </c>
      <c r="D17" s="250">
        <f>SUM(D18:D19)</f>
        <v>5950.1020408163267</v>
      </c>
      <c r="E17" s="250">
        <f t="shared" ref="E17:V17" si="4">SUM(E18:E19)</f>
        <v>4392.408163265306</v>
      </c>
      <c r="F17" s="250">
        <f t="shared" si="4"/>
        <v>4336.6326530612241</v>
      </c>
      <c r="G17" s="250">
        <f t="shared" si="4"/>
        <v>5391.7346938775509</v>
      </c>
      <c r="H17" s="250">
        <f t="shared" si="4"/>
        <v>4526.5306122448983</v>
      </c>
      <c r="I17" s="250">
        <f t="shared" si="4"/>
        <v>4617.2448979591836</v>
      </c>
      <c r="J17" s="250">
        <f t="shared" si="4"/>
        <v>5146.7346938775509</v>
      </c>
      <c r="K17" s="250">
        <f t="shared" si="4"/>
        <v>5102.6530612244896</v>
      </c>
      <c r="L17" s="250">
        <f t="shared" si="4"/>
        <v>4886.5306122448983</v>
      </c>
      <c r="M17" s="250">
        <f t="shared" si="4"/>
        <v>4335.1020408163267</v>
      </c>
      <c r="N17" s="250">
        <f t="shared" si="4"/>
        <v>4207.7551020408164</v>
      </c>
      <c r="O17" s="250">
        <f t="shared" si="4"/>
        <v>4059.5306122448978</v>
      </c>
      <c r="P17" s="250">
        <f t="shared" si="4"/>
        <v>4344.2244897959181</v>
      </c>
      <c r="Q17" s="250">
        <f t="shared" si="4"/>
        <v>4331.0204081632655</v>
      </c>
      <c r="R17" s="250">
        <f t="shared" si="4"/>
        <v>4598.2653061224491</v>
      </c>
      <c r="S17" s="250">
        <f t="shared" si="4"/>
        <v>3947.2448979591836</v>
      </c>
      <c r="T17" s="250">
        <f t="shared" si="4"/>
        <v>4402.5102040816328</v>
      </c>
      <c r="U17" s="250">
        <f t="shared" si="4"/>
        <v>5138.1632653061224</v>
      </c>
      <c r="V17" s="250">
        <f t="shared" si="4"/>
        <v>4267.8571428571431</v>
      </c>
    </row>
    <row r="18" spans="1:22" s="256" customFormat="1" ht="18" customHeight="1">
      <c r="A18" s="257" t="s">
        <v>170</v>
      </c>
      <c r="B18" s="254" t="s">
        <v>109</v>
      </c>
      <c r="C18" s="255">
        <f t="shared" si="3"/>
        <v>87982.244897959172</v>
      </c>
      <c r="D18" s="255">
        <f>D20-D7</f>
        <v>5950.1020408163267</v>
      </c>
      <c r="E18" s="255">
        <f t="shared" ref="E18:V18" si="5">E20-E7</f>
        <v>4392.408163265306</v>
      </c>
      <c r="F18" s="255">
        <f t="shared" si="5"/>
        <v>4336.6326530612241</v>
      </c>
      <c r="G18" s="255">
        <f t="shared" si="5"/>
        <v>5391.7346938775509</v>
      </c>
      <c r="H18" s="255">
        <f t="shared" si="5"/>
        <v>4526.5306122448983</v>
      </c>
      <c r="I18" s="255">
        <f t="shared" si="5"/>
        <v>4617.2448979591836</v>
      </c>
      <c r="J18" s="255">
        <f t="shared" si="5"/>
        <v>5146.7346938775509</v>
      </c>
      <c r="K18" s="255">
        <f t="shared" si="5"/>
        <v>5102.6530612244896</v>
      </c>
      <c r="L18" s="255">
        <f t="shared" si="5"/>
        <v>4886.5306122448983</v>
      </c>
      <c r="M18" s="255">
        <f t="shared" si="5"/>
        <v>4335.1020408163267</v>
      </c>
      <c r="N18" s="255">
        <f t="shared" si="5"/>
        <v>4207.7551020408164</v>
      </c>
      <c r="O18" s="255">
        <f t="shared" si="5"/>
        <v>4059.5306122448978</v>
      </c>
      <c r="P18" s="255">
        <f t="shared" si="5"/>
        <v>4344.2244897959181</v>
      </c>
      <c r="Q18" s="255">
        <f t="shared" si="5"/>
        <v>4331.0204081632655</v>
      </c>
      <c r="R18" s="255">
        <f t="shared" si="5"/>
        <v>4598.2653061224491</v>
      </c>
      <c r="S18" s="255">
        <f t="shared" si="5"/>
        <v>3947.2448979591836</v>
      </c>
      <c r="T18" s="255">
        <f t="shared" si="5"/>
        <v>4402.5102040816328</v>
      </c>
      <c r="U18" s="255">
        <f t="shared" si="5"/>
        <v>5138.1632653061224</v>
      </c>
      <c r="V18" s="255">
        <f t="shared" si="5"/>
        <v>4267.8571428571431</v>
      </c>
    </row>
    <row r="19" spans="1:22" s="256" customFormat="1" ht="18" customHeight="1">
      <c r="A19" s="257" t="s">
        <v>171</v>
      </c>
      <c r="B19" s="254" t="s">
        <v>182</v>
      </c>
      <c r="C19" s="255">
        <f t="shared" si="3"/>
        <v>0</v>
      </c>
      <c r="D19" s="255"/>
      <c r="E19" s="255"/>
      <c r="F19" s="255"/>
      <c r="G19" s="255"/>
      <c r="H19" s="255"/>
      <c r="I19" s="255"/>
      <c r="J19" s="255"/>
      <c r="K19" s="255"/>
      <c r="L19" s="255"/>
      <c r="M19" s="255"/>
      <c r="N19" s="255"/>
      <c r="O19" s="255"/>
      <c r="P19" s="255"/>
      <c r="Q19" s="255"/>
      <c r="R19" s="255"/>
      <c r="S19" s="255"/>
      <c r="T19" s="255"/>
      <c r="U19" s="255"/>
      <c r="V19" s="255"/>
    </row>
    <row r="20" spans="1:22" s="244" customFormat="1" ht="18" customHeight="1">
      <c r="A20" s="246" t="s">
        <v>2</v>
      </c>
      <c r="B20" s="249" t="s">
        <v>183</v>
      </c>
      <c r="C20" s="250">
        <f t="shared" si="3"/>
        <v>91962.244897959186</v>
      </c>
      <c r="D20" s="250">
        <f t="shared" ref="D20:V20" si="6">+D21+D23+D41</f>
        <v>6055.1020408163267</v>
      </c>
      <c r="E20" s="250">
        <f t="shared" si="6"/>
        <v>4420.408163265306</v>
      </c>
      <c r="F20" s="250">
        <f t="shared" si="6"/>
        <v>4381.6326530612241</v>
      </c>
      <c r="G20" s="250">
        <f t="shared" si="6"/>
        <v>5486.7346938775509</v>
      </c>
      <c r="H20" s="250">
        <f t="shared" si="6"/>
        <v>4576.5306122448983</v>
      </c>
      <c r="I20" s="250">
        <f t="shared" si="6"/>
        <v>7862.2448979591836</v>
      </c>
      <c r="J20" s="250">
        <f t="shared" si="6"/>
        <v>5236.7346938775509</v>
      </c>
      <c r="K20" s="250">
        <f t="shared" si="6"/>
        <v>5132.6530612244896</v>
      </c>
      <c r="L20" s="250">
        <f t="shared" si="6"/>
        <v>4926.5306122448983</v>
      </c>
      <c r="M20" s="250">
        <f t="shared" si="6"/>
        <v>4355.1020408163267</v>
      </c>
      <c r="N20" s="250">
        <f t="shared" si="6"/>
        <v>4237.7551020408164</v>
      </c>
      <c r="O20" s="250">
        <f t="shared" si="6"/>
        <v>4076.5306122448978</v>
      </c>
      <c r="P20" s="250">
        <f t="shared" si="6"/>
        <v>4361.2244897959181</v>
      </c>
      <c r="Q20" s="250">
        <f t="shared" si="6"/>
        <v>4351.0204081632655</v>
      </c>
      <c r="R20" s="250">
        <f t="shared" si="6"/>
        <v>4613.2653061224491</v>
      </c>
      <c r="S20" s="250">
        <f t="shared" si="6"/>
        <v>3962.2448979591836</v>
      </c>
      <c r="T20" s="250">
        <f t="shared" si="6"/>
        <v>4425.5102040816328</v>
      </c>
      <c r="U20" s="250">
        <f t="shared" si="6"/>
        <v>5208.1632653061224</v>
      </c>
      <c r="V20" s="250">
        <f t="shared" si="6"/>
        <v>4292.8571428571431</v>
      </c>
    </row>
    <row r="21" spans="1:22" s="252" customFormat="1" ht="18" customHeight="1">
      <c r="A21" s="246" t="s">
        <v>108</v>
      </c>
      <c r="B21" s="251" t="s">
        <v>184</v>
      </c>
      <c r="C21" s="250">
        <f t="shared" si="3"/>
        <v>2700</v>
      </c>
      <c r="D21" s="250">
        <f>D22</f>
        <v>0</v>
      </c>
      <c r="E21" s="250">
        <f t="shared" ref="E21:V21" si="7">E22</f>
        <v>0</v>
      </c>
      <c r="F21" s="250">
        <f t="shared" si="7"/>
        <v>0</v>
      </c>
      <c r="G21" s="250">
        <f t="shared" si="7"/>
        <v>0</v>
      </c>
      <c r="H21" s="250">
        <f t="shared" si="7"/>
        <v>0</v>
      </c>
      <c r="I21" s="250">
        <f t="shared" si="7"/>
        <v>2700</v>
      </c>
      <c r="J21" s="250">
        <f t="shared" si="7"/>
        <v>0</v>
      </c>
      <c r="K21" s="250">
        <f t="shared" si="7"/>
        <v>0</v>
      </c>
      <c r="L21" s="250">
        <f t="shared" si="7"/>
        <v>0</v>
      </c>
      <c r="M21" s="250">
        <f t="shared" si="7"/>
        <v>0</v>
      </c>
      <c r="N21" s="250">
        <f t="shared" si="7"/>
        <v>0</v>
      </c>
      <c r="O21" s="250">
        <f t="shared" si="7"/>
        <v>0</v>
      </c>
      <c r="P21" s="250">
        <f t="shared" si="7"/>
        <v>0</v>
      </c>
      <c r="Q21" s="250">
        <f t="shared" si="7"/>
        <v>0</v>
      </c>
      <c r="R21" s="250">
        <f t="shared" si="7"/>
        <v>0</v>
      </c>
      <c r="S21" s="250">
        <f t="shared" si="7"/>
        <v>0</v>
      </c>
      <c r="T21" s="250">
        <f t="shared" si="7"/>
        <v>0</v>
      </c>
      <c r="U21" s="250">
        <f t="shared" si="7"/>
        <v>0</v>
      </c>
      <c r="V21" s="250">
        <f t="shared" si="7"/>
        <v>0</v>
      </c>
    </row>
    <row r="22" spans="1:22" ht="18" customHeight="1">
      <c r="A22" s="257" t="s">
        <v>185</v>
      </c>
      <c r="B22" s="258" t="s">
        <v>186</v>
      </c>
      <c r="C22" s="255">
        <f t="shared" si="3"/>
        <v>2700</v>
      </c>
      <c r="D22" s="255"/>
      <c r="E22" s="255"/>
      <c r="F22" s="255"/>
      <c r="G22" s="255"/>
      <c r="H22" s="255"/>
      <c r="I22" s="255">
        <f>I14</f>
        <v>2700</v>
      </c>
      <c r="J22" s="255"/>
      <c r="K22" s="255"/>
      <c r="L22" s="255"/>
      <c r="M22" s="255"/>
      <c r="N22" s="255"/>
      <c r="O22" s="255"/>
      <c r="P22" s="255"/>
      <c r="Q22" s="255"/>
      <c r="R22" s="255"/>
      <c r="S22" s="255"/>
      <c r="T22" s="255"/>
      <c r="U22" s="255"/>
      <c r="V22" s="255"/>
    </row>
    <row r="23" spans="1:22" s="252" customFormat="1" ht="18" customHeight="1">
      <c r="A23" s="246" t="s">
        <v>4</v>
      </c>
      <c r="B23" s="251" t="s">
        <v>187</v>
      </c>
      <c r="C23" s="250">
        <f>SUM(D23:V23)</f>
        <v>87423</v>
      </c>
      <c r="D23" s="250">
        <f>+D24+D28+D30+D31+D40+D33+D34+D32+D38</f>
        <v>5934</v>
      </c>
      <c r="E23" s="250">
        <f t="shared" ref="E23:V23" si="8">+E24+E28+E30+E31+E40+E33+E34+E32+E38</f>
        <v>4332</v>
      </c>
      <c r="F23" s="250">
        <f t="shared" si="8"/>
        <v>4294</v>
      </c>
      <c r="G23" s="250">
        <f t="shared" si="8"/>
        <v>5377</v>
      </c>
      <c r="H23" s="250">
        <f t="shared" si="8"/>
        <v>4485</v>
      </c>
      <c r="I23" s="250">
        <f t="shared" si="8"/>
        <v>5005</v>
      </c>
      <c r="J23" s="250">
        <f t="shared" si="8"/>
        <v>5132</v>
      </c>
      <c r="K23" s="250">
        <f t="shared" si="8"/>
        <v>5030</v>
      </c>
      <c r="L23" s="250">
        <f t="shared" si="8"/>
        <v>4828</v>
      </c>
      <c r="M23" s="250">
        <f t="shared" si="8"/>
        <v>4268</v>
      </c>
      <c r="N23" s="250">
        <f t="shared" si="8"/>
        <v>4153</v>
      </c>
      <c r="O23" s="250">
        <f t="shared" si="8"/>
        <v>3995</v>
      </c>
      <c r="P23" s="250">
        <f t="shared" si="8"/>
        <v>4274</v>
      </c>
      <c r="Q23" s="250">
        <f t="shared" si="8"/>
        <v>4264</v>
      </c>
      <c r="R23" s="250">
        <f t="shared" si="8"/>
        <v>4521</v>
      </c>
      <c r="S23" s="250">
        <f t="shared" si="8"/>
        <v>3883</v>
      </c>
      <c r="T23" s="250">
        <f t="shared" si="8"/>
        <v>4337</v>
      </c>
      <c r="U23" s="250">
        <f t="shared" si="8"/>
        <v>5104</v>
      </c>
      <c r="V23" s="250">
        <f t="shared" si="8"/>
        <v>4207</v>
      </c>
    </row>
    <row r="24" spans="1:22" s="252" customFormat="1" ht="18" customHeight="1">
      <c r="A24" s="259">
        <v>1</v>
      </c>
      <c r="B24" s="260" t="s">
        <v>188</v>
      </c>
      <c r="C24" s="250">
        <f t="shared" si="3"/>
        <v>4228</v>
      </c>
      <c r="D24" s="261">
        <v>350</v>
      </c>
      <c r="E24" s="261">
        <v>194</v>
      </c>
      <c r="F24" s="261">
        <v>187</v>
      </c>
      <c r="G24" s="261">
        <v>278</v>
      </c>
      <c r="H24" s="261">
        <v>225</v>
      </c>
      <c r="I24" s="261">
        <v>310</v>
      </c>
      <c r="J24" s="261">
        <v>253</v>
      </c>
      <c r="K24" s="261">
        <v>230</v>
      </c>
      <c r="L24" s="261">
        <v>243</v>
      </c>
      <c r="M24" s="261">
        <v>191</v>
      </c>
      <c r="N24" s="261">
        <v>200</v>
      </c>
      <c r="O24" s="261">
        <v>171</v>
      </c>
      <c r="P24" s="261">
        <v>170</v>
      </c>
      <c r="Q24" s="261">
        <v>192</v>
      </c>
      <c r="R24" s="261">
        <v>228</v>
      </c>
      <c r="S24" s="261">
        <v>158</v>
      </c>
      <c r="T24" s="261">
        <v>203</v>
      </c>
      <c r="U24" s="261">
        <v>264</v>
      </c>
      <c r="V24" s="261">
        <v>181</v>
      </c>
    </row>
    <row r="25" spans="1:22" ht="18" customHeight="1">
      <c r="A25" s="262"/>
      <c r="B25" s="263" t="s">
        <v>189</v>
      </c>
      <c r="C25" s="255">
        <f t="shared" si="3"/>
        <v>1582</v>
      </c>
      <c r="D25" s="255">
        <v>170</v>
      </c>
      <c r="E25" s="255">
        <v>72</v>
      </c>
      <c r="F25" s="255">
        <v>63</v>
      </c>
      <c r="G25" s="255">
        <v>116</v>
      </c>
      <c r="H25" s="255">
        <v>80</v>
      </c>
      <c r="I25" s="255">
        <v>134</v>
      </c>
      <c r="J25" s="255">
        <v>107</v>
      </c>
      <c r="K25" s="255">
        <v>89</v>
      </c>
      <c r="L25" s="255">
        <v>89</v>
      </c>
      <c r="M25" s="255">
        <v>63</v>
      </c>
      <c r="N25" s="255">
        <v>63</v>
      </c>
      <c r="O25" s="255">
        <v>54</v>
      </c>
      <c r="P25" s="255">
        <v>54</v>
      </c>
      <c r="Q25" s="255">
        <v>62</v>
      </c>
      <c r="R25" s="255">
        <v>89</v>
      </c>
      <c r="S25" s="255">
        <v>45</v>
      </c>
      <c r="T25" s="255">
        <v>71</v>
      </c>
      <c r="U25" s="255">
        <v>107</v>
      </c>
      <c r="V25" s="255">
        <v>54</v>
      </c>
    </row>
    <row r="26" spans="1:22" ht="18" customHeight="1">
      <c r="A26" s="264"/>
      <c r="B26" s="263" t="s">
        <v>190</v>
      </c>
      <c r="C26" s="255">
        <f t="shared" si="3"/>
        <v>100</v>
      </c>
      <c r="D26" s="255"/>
      <c r="E26" s="255">
        <v>20</v>
      </c>
      <c r="F26" s="255"/>
      <c r="G26" s="255">
        <v>20</v>
      </c>
      <c r="H26" s="255">
        <v>20</v>
      </c>
      <c r="I26" s="255"/>
      <c r="J26" s="255"/>
      <c r="K26" s="255"/>
      <c r="L26" s="255"/>
      <c r="M26" s="255">
        <v>20</v>
      </c>
      <c r="N26" s="255">
        <v>20</v>
      </c>
      <c r="O26" s="255"/>
      <c r="P26" s="255"/>
      <c r="Q26" s="255"/>
      <c r="R26" s="255"/>
      <c r="S26" s="255"/>
      <c r="T26" s="255"/>
      <c r="U26" s="255"/>
      <c r="V26" s="255"/>
    </row>
    <row r="27" spans="1:22" ht="18" customHeight="1">
      <c r="A27" s="262"/>
      <c r="B27" s="263" t="s">
        <v>191</v>
      </c>
      <c r="C27" s="255">
        <f t="shared" si="3"/>
        <v>1149</v>
      </c>
      <c r="D27" s="255">
        <v>81</v>
      </c>
      <c r="E27" s="255">
        <v>59</v>
      </c>
      <c r="F27" s="255">
        <v>57</v>
      </c>
      <c r="G27" s="255">
        <v>63</v>
      </c>
      <c r="H27" s="255">
        <v>61</v>
      </c>
      <c r="I27" s="255">
        <v>68</v>
      </c>
      <c r="J27" s="255">
        <v>66</v>
      </c>
      <c r="K27" s="255">
        <v>63</v>
      </c>
      <c r="L27" s="255">
        <v>64</v>
      </c>
      <c r="M27" s="255">
        <v>56</v>
      </c>
      <c r="N27" s="255">
        <v>57</v>
      </c>
      <c r="O27" s="255">
        <v>54</v>
      </c>
      <c r="P27" s="255">
        <v>54</v>
      </c>
      <c r="Q27" s="255">
        <v>56</v>
      </c>
      <c r="R27" s="255">
        <v>62</v>
      </c>
      <c r="S27" s="255">
        <v>54</v>
      </c>
      <c r="T27" s="255">
        <v>58</v>
      </c>
      <c r="U27" s="255">
        <v>62</v>
      </c>
      <c r="V27" s="255">
        <v>54</v>
      </c>
    </row>
    <row r="28" spans="1:22" ht="18" customHeight="1">
      <c r="A28" s="265">
        <v>2</v>
      </c>
      <c r="B28" s="260" t="s">
        <v>274</v>
      </c>
      <c r="C28" s="250">
        <f>SUM(D28:V28)</f>
        <v>1867</v>
      </c>
      <c r="D28" s="261">
        <v>185</v>
      </c>
      <c r="E28" s="261">
        <v>87</v>
      </c>
      <c r="F28" s="261">
        <v>78</v>
      </c>
      <c r="G28" s="261">
        <v>131</v>
      </c>
      <c r="H28" s="261">
        <v>95</v>
      </c>
      <c r="I28" s="261">
        <v>149</v>
      </c>
      <c r="J28" s="261">
        <v>122</v>
      </c>
      <c r="K28" s="261">
        <v>104</v>
      </c>
      <c r="L28" s="261">
        <v>104</v>
      </c>
      <c r="M28" s="261">
        <v>78</v>
      </c>
      <c r="N28" s="261">
        <v>78</v>
      </c>
      <c r="O28" s="261">
        <v>69</v>
      </c>
      <c r="P28" s="261">
        <v>69</v>
      </c>
      <c r="Q28" s="261">
        <v>77</v>
      </c>
      <c r="R28" s="261">
        <v>104</v>
      </c>
      <c r="S28" s="261">
        <v>60</v>
      </c>
      <c r="T28" s="261">
        <v>86</v>
      </c>
      <c r="U28" s="261">
        <v>122</v>
      </c>
      <c r="V28" s="261">
        <v>69</v>
      </c>
    </row>
    <row r="29" spans="1:22" ht="31">
      <c r="A29" s="265"/>
      <c r="B29" s="263" t="s">
        <v>273</v>
      </c>
      <c r="C29" s="250">
        <f t="shared" ref="C29" si="9">SUM(D29:V29)</f>
        <v>1582</v>
      </c>
      <c r="D29" s="250">
        <v>170</v>
      </c>
      <c r="E29" s="250">
        <v>72</v>
      </c>
      <c r="F29" s="250">
        <v>63</v>
      </c>
      <c r="G29" s="250">
        <v>116</v>
      </c>
      <c r="H29" s="250">
        <v>80</v>
      </c>
      <c r="I29" s="250">
        <v>134</v>
      </c>
      <c r="J29" s="250">
        <v>107</v>
      </c>
      <c r="K29" s="250">
        <v>89</v>
      </c>
      <c r="L29" s="250">
        <v>89</v>
      </c>
      <c r="M29" s="250">
        <v>63</v>
      </c>
      <c r="N29" s="250">
        <v>63</v>
      </c>
      <c r="O29" s="250">
        <v>54</v>
      </c>
      <c r="P29" s="250">
        <v>54</v>
      </c>
      <c r="Q29" s="250">
        <v>62</v>
      </c>
      <c r="R29" s="250">
        <v>89</v>
      </c>
      <c r="S29" s="250">
        <v>45</v>
      </c>
      <c r="T29" s="250">
        <v>71</v>
      </c>
      <c r="U29" s="250">
        <v>107</v>
      </c>
      <c r="V29" s="250">
        <v>54</v>
      </c>
    </row>
    <row r="30" spans="1:22" s="252" customFormat="1" ht="18" customHeight="1">
      <c r="A30" s="266">
        <v>3</v>
      </c>
      <c r="B30" s="251" t="s">
        <v>260</v>
      </c>
      <c r="C30" s="250">
        <f t="shared" si="3"/>
        <v>1000</v>
      </c>
      <c r="D30" s="250">
        <v>55</v>
      </c>
      <c r="E30" s="250">
        <v>55</v>
      </c>
      <c r="F30" s="250">
        <v>55</v>
      </c>
      <c r="G30" s="250">
        <v>55</v>
      </c>
      <c r="H30" s="250">
        <v>55</v>
      </c>
      <c r="I30" s="250">
        <v>55</v>
      </c>
      <c r="J30" s="250">
        <v>55</v>
      </c>
      <c r="K30" s="250">
        <v>55</v>
      </c>
      <c r="L30" s="250">
        <v>50</v>
      </c>
      <c r="M30" s="250">
        <v>55</v>
      </c>
      <c r="N30" s="250">
        <v>50</v>
      </c>
      <c r="O30" s="250">
        <v>30</v>
      </c>
      <c r="P30" s="250">
        <v>50</v>
      </c>
      <c r="Q30" s="250">
        <v>50</v>
      </c>
      <c r="R30" s="250">
        <v>55</v>
      </c>
      <c r="S30" s="250">
        <v>55</v>
      </c>
      <c r="T30" s="250">
        <v>55</v>
      </c>
      <c r="U30" s="250">
        <v>55</v>
      </c>
      <c r="V30" s="250">
        <v>55</v>
      </c>
    </row>
    <row r="31" spans="1:22" s="252" customFormat="1" ht="18" customHeight="1">
      <c r="A31" s="266">
        <v>4</v>
      </c>
      <c r="B31" s="251" t="s">
        <v>192</v>
      </c>
      <c r="C31" s="250">
        <f t="shared" si="3"/>
        <v>1900</v>
      </c>
      <c r="D31" s="267">
        <v>174</v>
      </c>
      <c r="E31" s="267">
        <v>93</v>
      </c>
      <c r="F31" s="267">
        <v>72</v>
      </c>
      <c r="G31" s="267">
        <v>123</v>
      </c>
      <c r="H31" s="267">
        <v>102</v>
      </c>
      <c r="I31" s="267">
        <v>120</v>
      </c>
      <c r="J31" s="267">
        <v>127</v>
      </c>
      <c r="K31" s="267">
        <v>110</v>
      </c>
      <c r="L31" s="267">
        <v>110</v>
      </c>
      <c r="M31" s="267">
        <v>85</v>
      </c>
      <c r="N31" s="267">
        <v>85</v>
      </c>
      <c r="O31" s="267">
        <v>76</v>
      </c>
      <c r="P31" s="267">
        <v>76</v>
      </c>
      <c r="Q31" s="267">
        <v>85</v>
      </c>
      <c r="R31" s="267">
        <v>110</v>
      </c>
      <c r="S31" s="267">
        <v>68</v>
      </c>
      <c r="T31" s="267">
        <v>93</v>
      </c>
      <c r="U31" s="267">
        <v>115</v>
      </c>
      <c r="V31" s="267">
        <v>76</v>
      </c>
    </row>
    <row r="32" spans="1:22" s="252" customFormat="1" ht="18" customHeight="1">
      <c r="A32" s="266">
        <v>5</v>
      </c>
      <c r="B32" s="251" t="s">
        <v>80</v>
      </c>
      <c r="C32" s="250">
        <f t="shared" ref="C32" si="10">SUM(D32:V32)</f>
        <v>285</v>
      </c>
      <c r="D32" s="267">
        <v>15</v>
      </c>
      <c r="E32" s="267">
        <v>15</v>
      </c>
      <c r="F32" s="267">
        <v>15</v>
      </c>
      <c r="G32" s="267">
        <v>15</v>
      </c>
      <c r="H32" s="267">
        <v>15</v>
      </c>
      <c r="I32" s="267">
        <v>15</v>
      </c>
      <c r="J32" s="267">
        <v>15</v>
      </c>
      <c r="K32" s="267">
        <v>15</v>
      </c>
      <c r="L32" s="267">
        <v>15</v>
      </c>
      <c r="M32" s="267">
        <v>15</v>
      </c>
      <c r="N32" s="267">
        <v>15</v>
      </c>
      <c r="O32" s="267">
        <v>15</v>
      </c>
      <c r="P32" s="267">
        <v>15</v>
      </c>
      <c r="Q32" s="267">
        <v>15</v>
      </c>
      <c r="R32" s="267">
        <v>15</v>
      </c>
      <c r="S32" s="267">
        <v>15</v>
      </c>
      <c r="T32" s="267">
        <v>15</v>
      </c>
      <c r="U32" s="267">
        <v>15</v>
      </c>
      <c r="V32" s="267">
        <v>15</v>
      </c>
    </row>
    <row r="33" spans="1:34" s="244" customFormat="1" ht="18" customHeight="1">
      <c r="A33" s="266">
        <v>6</v>
      </c>
      <c r="B33" s="251" t="s">
        <v>194</v>
      </c>
      <c r="C33" s="250">
        <f t="shared" ref="C33:C40" si="11">SUM(D33:V33)</f>
        <v>2055</v>
      </c>
      <c r="D33" s="268">
        <v>117</v>
      </c>
      <c r="E33" s="268">
        <v>100</v>
      </c>
      <c r="F33" s="268">
        <v>117</v>
      </c>
      <c r="G33" s="268">
        <v>117</v>
      </c>
      <c r="H33" s="268">
        <v>109</v>
      </c>
      <c r="I33" s="268">
        <v>76</v>
      </c>
      <c r="J33" s="268">
        <v>100</v>
      </c>
      <c r="K33" s="268">
        <v>117</v>
      </c>
      <c r="L33" s="268">
        <v>109</v>
      </c>
      <c r="M33" s="268">
        <v>105</v>
      </c>
      <c r="N33" s="268">
        <v>117</v>
      </c>
      <c r="O33" s="268">
        <v>109</v>
      </c>
      <c r="P33" s="268">
        <v>105</v>
      </c>
      <c r="Q33" s="268">
        <v>109</v>
      </c>
      <c r="R33" s="268">
        <v>100</v>
      </c>
      <c r="S33" s="268">
        <v>100</v>
      </c>
      <c r="T33" s="268">
        <v>117</v>
      </c>
      <c r="U33" s="268">
        <v>109</v>
      </c>
      <c r="V33" s="268">
        <v>122</v>
      </c>
    </row>
    <row r="34" spans="1:34" s="244" customFormat="1" ht="18" customHeight="1">
      <c r="A34" s="269">
        <v>7</v>
      </c>
      <c r="B34" s="251" t="s">
        <v>195</v>
      </c>
      <c r="C34" s="250">
        <f t="shared" si="11"/>
        <v>73259</v>
      </c>
      <c r="D34" s="250">
        <f>+D35+D36+D37-D39</f>
        <v>4700</v>
      </c>
      <c r="E34" s="250">
        <f t="shared" ref="E34:V34" si="12">+E35+E36+E37-E39</f>
        <v>3662</v>
      </c>
      <c r="F34" s="250">
        <f t="shared" si="12"/>
        <v>3619</v>
      </c>
      <c r="G34" s="250">
        <f t="shared" si="12"/>
        <v>4444</v>
      </c>
      <c r="H34" s="250">
        <f t="shared" si="12"/>
        <v>3779</v>
      </c>
      <c r="I34" s="250">
        <f t="shared" si="12"/>
        <v>4082</v>
      </c>
      <c r="J34" s="250">
        <f t="shared" si="12"/>
        <v>4283</v>
      </c>
      <c r="K34" s="250">
        <f t="shared" si="12"/>
        <v>4216</v>
      </c>
      <c r="L34" s="250">
        <f t="shared" si="12"/>
        <v>4071</v>
      </c>
      <c r="M34" s="250">
        <f t="shared" si="12"/>
        <v>3603</v>
      </c>
      <c r="N34" s="250">
        <f t="shared" si="12"/>
        <v>3527</v>
      </c>
      <c r="O34" s="250">
        <f t="shared" si="12"/>
        <v>3421</v>
      </c>
      <c r="P34" s="250">
        <f t="shared" si="12"/>
        <v>3594</v>
      </c>
      <c r="Q34" s="250">
        <f t="shared" si="12"/>
        <v>3610</v>
      </c>
      <c r="R34" s="250">
        <f t="shared" si="12"/>
        <v>3829</v>
      </c>
      <c r="S34" s="250">
        <f t="shared" si="12"/>
        <v>3336</v>
      </c>
      <c r="T34" s="250">
        <f t="shared" si="12"/>
        <v>3582</v>
      </c>
      <c r="U34" s="250">
        <f t="shared" si="12"/>
        <v>4338</v>
      </c>
      <c r="V34" s="250">
        <f t="shared" si="12"/>
        <v>3563</v>
      </c>
    </row>
    <row r="35" spans="1:34" s="244" customFormat="1" ht="15">
      <c r="A35" s="269" t="s">
        <v>275</v>
      </c>
      <c r="B35" s="251" t="s">
        <v>196</v>
      </c>
      <c r="C35" s="250">
        <f t="shared" si="11"/>
        <v>61856</v>
      </c>
      <c r="D35" s="250">
        <v>4115</v>
      </c>
      <c r="E35" s="250">
        <v>3086</v>
      </c>
      <c r="F35" s="250">
        <v>3043</v>
      </c>
      <c r="G35" s="250">
        <v>3859</v>
      </c>
      <c r="H35" s="250">
        <v>3158</v>
      </c>
      <c r="I35" s="250">
        <v>3533</v>
      </c>
      <c r="J35" s="250">
        <v>3644</v>
      </c>
      <c r="K35" s="250">
        <v>3577</v>
      </c>
      <c r="L35" s="250">
        <v>3486</v>
      </c>
      <c r="M35" s="250">
        <v>2982</v>
      </c>
      <c r="N35" s="250">
        <v>2897</v>
      </c>
      <c r="O35" s="250">
        <v>2791</v>
      </c>
      <c r="P35" s="250">
        <v>2955</v>
      </c>
      <c r="Q35" s="250">
        <v>3034</v>
      </c>
      <c r="R35" s="250">
        <v>3154</v>
      </c>
      <c r="S35" s="250">
        <v>2778</v>
      </c>
      <c r="T35" s="250">
        <v>3006</v>
      </c>
      <c r="U35" s="250">
        <v>3753</v>
      </c>
      <c r="V35" s="250">
        <v>3005</v>
      </c>
    </row>
    <row r="36" spans="1:34" s="244" customFormat="1" ht="15">
      <c r="A36" s="269" t="s">
        <v>276</v>
      </c>
      <c r="B36" s="251" t="s">
        <v>261</v>
      </c>
      <c r="C36" s="250">
        <f t="shared" si="11"/>
        <v>513</v>
      </c>
      <c r="D36" s="250">
        <v>27</v>
      </c>
      <c r="E36" s="250">
        <v>27</v>
      </c>
      <c r="F36" s="250">
        <v>27</v>
      </c>
      <c r="G36" s="250">
        <v>27</v>
      </c>
      <c r="H36" s="250">
        <v>27</v>
      </c>
      <c r="I36" s="250">
        <v>27</v>
      </c>
      <c r="J36" s="250">
        <v>27</v>
      </c>
      <c r="K36" s="250">
        <v>27</v>
      </c>
      <c r="L36" s="250">
        <v>27</v>
      </c>
      <c r="M36" s="250">
        <v>27</v>
      </c>
      <c r="N36" s="250">
        <v>27</v>
      </c>
      <c r="O36" s="250">
        <v>27</v>
      </c>
      <c r="P36" s="250">
        <v>27</v>
      </c>
      <c r="Q36" s="250">
        <v>27</v>
      </c>
      <c r="R36" s="250">
        <v>27</v>
      </c>
      <c r="S36" s="250">
        <v>27</v>
      </c>
      <c r="T36" s="250">
        <v>27</v>
      </c>
      <c r="U36" s="250">
        <v>27</v>
      </c>
      <c r="V36" s="250">
        <v>27</v>
      </c>
    </row>
    <row r="37" spans="1:34" s="244" customFormat="1" ht="15">
      <c r="A37" s="269" t="s">
        <v>277</v>
      </c>
      <c r="B37" s="251" t="s">
        <v>199</v>
      </c>
      <c r="C37" s="250">
        <f t="shared" si="11"/>
        <v>12100</v>
      </c>
      <c r="D37" s="250">
        <v>620</v>
      </c>
      <c r="E37" s="250">
        <v>610</v>
      </c>
      <c r="F37" s="250">
        <v>610</v>
      </c>
      <c r="G37" s="250">
        <v>620</v>
      </c>
      <c r="H37" s="250">
        <v>660</v>
      </c>
      <c r="I37" s="250">
        <v>580</v>
      </c>
      <c r="J37" s="250">
        <v>680</v>
      </c>
      <c r="K37" s="250">
        <v>680</v>
      </c>
      <c r="L37" s="250">
        <v>620</v>
      </c>
      <c r="M37" s="250">
        <v>660</v>
      </c>
      <c r="N37" s="250">
        <v>670</v>
      </c>
      <c r="O37" s="250">
        <v>670</v>
      </c>
      <c r="P37" s="250">
        <v>680</v>
      </c>
      <c r="Q37" s="250">
        <v>610</v>
      </c>
      <c r="R37" s="250">
        <v>720</v>
      </c>
      <c r="S37" s="250">
        <v>590</v>
      </c>
      <c r="T37" s="250">
        <v>610</v>
      </c>
      <c r="U37" s="250">
        <v>620</v>
      </c>
      <c r="V37" s="250">
        <v>590</v>
      </c>
    </row>
    <row r="38" spans="1:34" s="244" customFormat="1" ht="15">
      <c r="A38" s="269">
        <v>8</v>
      </c>
      <c r="B38" s="251" t="s">
        <v>379</v>
      </c>
      <c r="C38" s="250">
        <f t="shared" ref="C38" si="13">SUM(D38:V38)</f>
        <v>1210</v>
      </c>
      <c r="D38" s="250">
        <f>D39</f>
        <v>62</v>
      </c>
      <c r="E38" s="250">
        <f t="shared" ref="E38:V38" si="14">E39</f>
        <v>61</v>
      </c>
      <c r="F38" s="250">
        <f t="shared" si="14"/>
        <v>61</v>
      </c>
      <c r="G38" s="250">
        <f t="shared" si="14"/>
        <v>62</v>
      </c>
      <c r="H38" s="250">
        <f t="shared" si="14"/>
        <v>66</v>
      </c>
      <c r="I38" s="250">
        <f t="shared" si="14"/>
        <v>58</v>
      </c>
      <c r="J38" s="250">
        <f t="shared" si="14"/>
        <v>68</v>
      </c>
      <c r="K38" s="250">
        <f t="shared" si="14"/>
        <v>68</v>
      </c>
      <c r="L38" s="250">
        <f t="shared" si="14"/>
        <v>62</v>
      </c>
      <c r="M38" s="250">
        <f t="shared" si="14"/>
        <v>66</v>
      </c>
      <c r="N38" s="250">
        <f t="shared" si="14"/>
        <v>67</v>
      </c>
      <c r="O38" s="250">
        <f t="shared" si="14"/>
        <v>67</v>
      </c>
      <c r="P38" s="250">
        <f t="shared" si="14"/>
        <v>68</v>
      </c>
      <c r="Q38" s="250">
        <f t="shared" si="14"/>
        <v>61</v>
      </c>
      <c r="R38" s="250">
        <f t="shared" si="14"/>
        <v>72</v>
      </c>
      <c r="S38" s="250">
        <f t="shared" si="14"/>
        <v>59</v>
      </c>
      <c r="T38" s="250">
        <f t="shared" si="14"/>
        <v>61</v>
      </c>
      <c r="U38" s="250">
        <f t="shared" si="14"/>
        <v>62</v>
      </c>
      <c r="V38" s="250">
        <f t="shared" si="14"/>
        <v>59</v>
      </c>
    </row>
    <row r="39" spans="1:34" s="252" customFormat="1" ht="38.25" customHeight="1">
      <c r="A39" s="270"/>
      <c r="B39" s="258" t="s">
        <v>380</v>
      </c>
      <c r="C39" s="255">
        <f t="shared" si="11"/>
        <v>1210</v>
      </c>
      <c r="D39" s="255">
        <f>D37*10%</f>
        <v>62</v>
      </c>
      <c r="E39" s="255">
        <f t="shared" ref="E39:V39" si="15">E37*10%</f>
        <v>61</v>
      </c>
      <c r="F39" s="255">
        <f t="shared" si="15"/>
        <v>61</v>
      </c>
      <c r="G39" s="255">
        <f t="shared" si="15"/>
        <v>62</v>
      </c>
      <c r="H39" s="255">
        <f t="shared" si="15"/>
        <v>66</v>
      </c>
      <c r="I39" s="255">
        <f t="shared" si="15"/>
        <v>58</v>
      </c>
      <c r="J39" s="255">
        <f t="shared" si="15"/>
        <v>68</v>
      </c>
      <c r="K39" s="255">
        <f t="shared" si="15"/>
        <v>68</v>
      </c>
      <c r="L39" s="255">
        <f t="shared" si="15"/>
        <v>62</v>
      </c>
      <c r="M39" s="255">
        <f t="shared" si="15"/>
        <v>66</v>
      </c>
      <c r="N39" s="255">
        <f t="shared" si="15"/>
        <v>67</v>
      </c>
      <c r="O39" s="255">
        <f t="shared" si="15"/>
        <v>67</v>
      </c>
      <c r="P39" s="255">
        <f t="shared" si="15"/>
        <v>68</v>
      </c>
      <c r="Q39" s="255">
        <f t="shared" si="15"/>
        <v>61</v>
      </c>
      <c r="R39" s="255">
        <f t="shared" si="15"/>
        <v>72</v>
      </c>
      <c r="S39" s="255">
        <f t="shared" si="15"/>
        <v>59</v>
      </c>
      <c r="T39" s="255">
        <f t="shared" si="15"/>
        <v>61</v>
      </c>
      <c r="U39" s="255">
        <f t="shared" si="15"/>
        <v>62</v>
      </c>
      <c r="V39" s="255">
        <f t="shared" si="15"/>
        <v>59</v>
      </c>
    </row>
    <row r="40" spans="1:34" s="252" customFormat="1" ht="18" customHeight="1">
      <c r="A40" s="266">
        <v>9</v>
      </c>
      <c r="B40" s="251" t="s">
        <v>193</v>
      </c>
      <c r="C40" s="250">
        <f t="shared" si="11"/>
        <v>1619</v>
      </c>
      <c r="D40" s="250">
        <v>276</v>
      </c>
      <c r="E40" s="250">
        <v>65</v>
      </c>
      <c r="F40" s="250">
        <v>90</v>
      </c>
      <c r="G40" s="250">
        <v>152</v>
      </c>
      <c r="H40" s="250">
        <v>39</v>
      </c>
      <c r="I40" s="250">
        <v>140</v>
      </c>
      <c r="J40" s="250">
        <v>109</v>
      </c>
      <c r="K40" s="250">
        <v>115</v>
      </c>
      <c r="L40" s="250">
        <v>64</v>
      </c>
      <c r="M40" s="250">
        <v>70</v>
      </c>
      <c r="N40" s="250">
        <v>14</v>
      </c>
      <c r="O40" s="250">
        <v>37</v>
      </c>
      <c r="P40" s="250">
        <v>127</v>
      </c>
      <c r="Q40" s="250">
        <v>65</v>
      </c>
      <c r="R40" s="250">
        <v>8</v>
      </c>
      <c r="S40" s="250">
        <v>32</v>
      </c>
      <c r="T40" s="250">
        <v>125</v>
      </c>
      <c r="U40" s="250">
        <v>24</v>
      </c>
      <c r="V40" s="250">
        <v>67</v>
      </c>
    </row>
    <row r="41" spans="1:34" s="244" customFormat="1" ht="18" customHeight="1">
      <c r="A41" s="269" t="s">
        <v>95</v>
      </c>
      <c r="B41" s="251" t="s">
        <v>197</v>
      </c>
      <c r="C41" s="250">
        <f>SUM(D41:V41)</f>
        <v>1839.2448979591834</v>
      </c>
      <c r="D41" s="250">
        <f t="shared" ref="D41:V41" si="16">(D21+D23)/98*2</f>
        <v>121.10204081632654</v>
      </c>
      <c r="E41" s="250">
        <f t="shared" si="16"/>
        <v>88.408163265306129</v>
      </c>
      <c r="F41" s="250">
        <f t="shared" si="16"/>
        <v>87.632653061224488</v>
      </c>
      <c r="G41" s="250">
        <f t="shared" si="16"/>
        <v>109.73469387755102</v>
      </c>
      <c r="H41" s="250">
        <f t="shared" si="16"/>
        <v>91.530612244897952</v>
      </c>
      <c r="I41" s="250">
        <f t="shared" si="16"/>
        <v>157.24489795918367</v>
      </c>
      <c r="J41" s="250">
        <f t="shared" si="16"/>
        <v>104.73469387755102</v>
      </c>
      <c r="K41" s="250">
        <f t="shared" si="16"/>
        <v>102.65306122448979</v>
      </c>
      <c r="L41" s="250">
        <f t="shared" si="16"/>
        <v>98.530612244897952</v>
      </c>
      <c r="M41" s="250">
        <f t="shared" si="16"/>
        <v>87.102040816326536</v>
      </c>
      <c r="N41" s="250">
        <f t="shared" si="16"/>
        <v>84.755102040816325</v>
      </c>
      <c r="O41" s="250">
        <f t="shared" si="16"/>
        <v>81.530612244897952</v>
      </c>
      <c r="P41" s="250">
        <f t="shared" si="16"/>
        <v>87.224489795918373</v>
      </c>
      <c r="Q41" s="250">
        <f t="shared" si="16"/>
        <v>87.020408163265301</v>
      </c>
      <c r="R41" s="250">
        <f t="shared" si="16"/>
        <v>92.265306122448976</v>
      </c>
      <c r="S41" s="250">
        <f t="shared" si="16"/>
        <v>79.244897959183675</v>
      </c>
      <c r="T41" s="250">
        <f t="shared" si="16"/>
        <v>88.510204081632651</v>
      </c>
      <c r="U41" s="250">
        <f t="shared" si="16"/>
        <v>104.16326530612245</v>
      </c>
      <c r="V41" s="250">
        <f t="shared" si="16"/>
        <v>85.857142857142861</v>
      </c>
    </row>
    <row r="42" spans="1:34" ht="9.75" hidden="1" customHeight="1"/>
    <row r="43" spans="1:34" s="274" customFormat="1" ht="20.25" hidden="1" customHeight="1">
      <c r="A43" s="271"/>
      <c r="B43" s="233" t="s">
        <v>252</v>
      </c>
      <c r="C43" s="272">
        <f>SUM(D43:V43)</f>
        <v>1839.2448979591834</v>
      </c>
      <c r="D43" s="272">
        <f t="shared" ref="D43:V43" si="17">(D21+D23)/98*2</f>
        <v>121.10204081632654</v>
      </c>
      <c r="E43" s="272">
        <f t="shared" si="17"/>
        <v>88.408163265306129</v>
      </c>
      <c r="F43" s="272">
        <f t="shared" si="17"/>
        <v>87.632653061224488</v>
      </c>
      <c r="G43" s="272">
        <f t="shared" si="17"/>
        <v>109.73469387755102</v>
      </c>
      <c r="H43" s="272">
        <f t="shared" si="17"/>
        <v>91.530612244897952</v>
      </c>
      <c r="I43" s="272">
        <f t="shared" si="17"/>
        <v>157.24489795918367</v>
      </c>
      <c r="J43" s="272">
        <f t="shared" si="17"/>
        <v>104.73469387755102</v>
      </c>
      <c r="K43" s="272">
        <f t="shared" si="17"/>
        <v>102.65306122448979</v>
      </c>
      <c r="L43" s="272">
        <f t="shared" si="17"/>
        <v>98.530612244897952</v>
      </c>
      <c r="M43" s="272">
        <f t="shared" si="17"/>
        <v>87.102040816326536</v>
      </c>
      <c r="N43" s="272">
        <f t="shared" si="17"/>
        <v>84.755102040816325</v>
      </c>
      <c r="O43" s="272">
        <f t="shared" si="17"/>
        <v>81.530612244897952</v>
      </c>
      <c r="P43" s="272">
        <f t="shared" si="17"/>
        <v>87.224489795918373</v>
      </c>
      <c r="Q43" s="272">
        <f t="shared" si="17"/>
        <v>87.020408163265301</v>
      </c>
      <c r="R43" s="272">
        <f t="shared" si="17"/>
        <v>92.265306122448976</v>
      </c>
      <c r="S43" s="272">
        <f t="shared" si="17"/>
        <v>79.244897959183675</v>
      </c>
      <c r="T43" s="272">
        <f t="shared" si="17"/>
        <v>88.510204081632651</v>
      </c>
      <c r="U43" s="272">
        <f t="shared" si="17"/>
        <v>104.16326530612245</v>
      </c>
      <c r="V43" s="272">
        <f t="shared" si="17"/>
        <v>85.857142857142861</v>
      </c>
      <c r="W43" s="273"/>
    </row>
    <row r="44" spans="1:34" s="40" customFormat="1" ht="15" hidden="1" customHeight="1">
      <c r="A44" s="234"/>
      <c r="B44" s="40" t="s">
        <v>253</v>
      </c>
      <c r="AE44" s="235"/>
      <c r="AF44" s="235"/>
      <c r="AG44" s="235"/>
      <c r="AH44" s="235"/>
    </row>
    <row r="45" spans="1:34" s="40" customFormat="1" ht="15" hidden="1" customHeight="1">
      <c r="A45" s="234"/>
      <c r="B45" s="40" t="s">
        <v>254</v>
      </c>
      <c r="AE45" s="235"/>
      <c r="AF45" s="235"/>
      <c r="AG45" s="235"/>
      <c r="AH45" s="235"/>
    </row>
    <row r="46" spans="1:34" s="40" customFormat="1" ht="15" hidden="1" customHeight="1">
      <c r="A46" s="234"/>
      <c r="B46" s="40" t="s">
        <v>255</v>
      </c>
      <c r="AE46" s="235"/>
      <c r="AF46" s="235"/>
      <c r="AG46" s="235"/>
      <c r="AH46" s="235"/>
    </row>
    <row r="47" spans="1:34" s="274" customFormat="1" ht="30" hidden="1" customHeight="1">
      <c r="A47" s="271"/>
      <c r="B47" s="398" t="s">
        <v>256</v>
      </c>
      <c r="C47" s="398"/>
      <c r="D47" s="398"/>
      <c r="E47" s="398"/>
      <c r="F47" s="398"/>
      <c r="G47" s="398"/>
      <c r="H47" s="398"/>
      <c r="I47" s="398"/>
      <c r="J47" s="398"/>
      <c r="K47" s="398"/>
      <c r="L47" s="398"/>
      <c r="M47" s="398"/>
      <c r="N47" s="398"/>
      <c r="O47" s="398"/>
      <c r="P47" s="398"/>
      <c r="Q47" s="398"/>
      <c r="R47" s="398"/>
      <c r="S47" s="398"/>
      <c r="T47" s="398"/>
      <c r="U47" s="398"/>
      <c r="V47" s="398"/>
      <c r="W47" s="273"/>
    </row>
    <row r="48" spans="1:34" s="40" customFormat="1" ht="15" hidden="1" customHeight="1">
      <c r="A48" s="234"/>
      <c r="B48" s="40" t="s">
        <v>257</v>
      </c>
      <c r="AE48" s="235"/>
      <c r="AF48" s="235"/>
      <c r="AG48" s="235"/>
      <c r="AH48" s="235"/>
    </row>
    <row r="49" spans="1:34" s="40" customFormat="1" ht="15" hidden="1" customHeight="1">
      <c r="A49" s="234"/>
      <c r="B49" s="40" t="s">
        <v>258</v>
      </c>
      <c r="AE49" s="235"/>
      <c r="AF49" s="235"/>
      <c r="AG49" s="235"/>
      <c r="AH49" s="235"/>
    </row>
    <row r="50" spans="1:34" s="274" customFormat="1" ht="30" hidden="1" customHeight="1">
      <c r="A50" s="271"/>
      <c r="B50" s="398" t="s">
        <v>281</v>
      </c>
      <c r="C50" s="398"/>
      <c r="D50" s="398"/>
      <c r="E50" s="398"/>
      <c r="F50" s="398"/>
      <c r="G50" s="398"/>
      <c r="H50" s="398"/>
      <c r="I50" s="398"/>
      <c r="J50" s="398"/>
      <c r="K50" s="398"/>
      <c r="L50" s="398"/>
      <c r="M50" s="398"/>
      <c r="N50" s="398"/>
      <c r="O50" s="398"/>
      <c r="P50" s="398"/>
      <c r="Q50" s="398"/>
      <c r="R50" s="398"/>
      <c r="S50" s="398"/>
      <c r="T50" s="398"/>
      <c r="U50" s="398"/>
      <c r="V50" s="398"/>
      <c r="W50" s="273"/>
    </row>
    <row r="51" spans="1:34" s="40" customFormat="1" ht="15" hidden="1" customHeight="1">
      <c r="A51" s="234"/>
      <c r="B51" s="40" t="s">
        <v>259</v>
      </c>
      <c r="AE51" s="235"/>
      <c r="AF51" s="235"/>
      <c r="AG51" s="235"/>
      <c r="AH51" s="235"/>
    </row>
    <row r="52" spans="1:34" hidden="1"/>
  </sheetData>
  <mergeCells count="6">
    <mergeCell ref="B50:V50"/>
    <mergeCell ref="T4:V4"/>
    <mergeCell ref="A2:V2"/>
    <mergeCell ref="A3:V3"/>
    <mergeCell ref="U1:V1"/>
    <mergeCell ref="B47:V47"/>
  </mergeCells>
  <pageMargins left="0.27559055118110237" right="0.19685039370078741" top="0.27559055118110237" bottom="0.36" header="0.19685039370078741" footer="0.31496062992125984"/>
  <pageSetup paperSize="9" scale="60" fitToHeight="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1E1BD-E6F3-4FA5-BF65-A9C80013702F}">
  <sheetPr>
    <pageSetUpPr fitToPage="1"/>
  </sheetPr>
  <dimension ref="A1:H62"/>
  <sheetViews>
    <sheetView topLeftCell="A2" workbookViewId="0">
      <pane ySplit="2" topLeftCell="A4" activePane="bottomLeft" state="frozen"/>
      <selection activeCell="A2" sqref="A2"/>
      <selection pane="bottomLeft" activeCell="H12" sqref="H12"/>
    </sheetView>
  </sheetViews>
  <sheetFormatPr defaultRowHeight="17.5"/>
  <cols>
    <col min="1" max="1" width="5" style="279" customWidth="1"/>
    <col min="2" max="2" width="67.81640625" style="279" customWidth="1"/>
    <col min="3" max="3" width="11.54296875" style="318" customWidth="1"/>
    <col min="4" max="4" width="14.26953125" style="317" customWidth="1"/>
    <col min="5" max="5" width="43.453125" style="279" hidden="1" customWidth="1"/>
    <col min="6" max="8" width="9.1796875" style="280" customWidth="1"/>
    <col min="9" max="9" width="9.1796875" style="279" customWidth="1"/>
    <col min="10" max="253" width="9.1796875" style="279"/>
    <col min="254" max="254" width="5" style="279" customWidth="1"/>
    <col min="255" max="255" width="73.81640625" style="279" customWidth="1"/>
    <col min="256" max="256" width="11.54296875" style="279" customWidth="1"/>
    <col min="257" max="257" width="14.26953125" style="279" customWidth="1"/>
    <col min="258" max="258" width="43.453125" style="279" customWidth="1"/>
    <col min="259" max="265" width="0" style="279" hidden="1" customWidth="1"/>
    <col min="266" max="509" width="9.1796875" style="279"/>
    <col min="510" max="510" width="5" style="279" customWidth="1"/>
    <col min="511" max="511" width="73.81640625" style="279" customWidth="1"/>
    <col min="512" max="512" width="11.54296875" style="279" customWidth="1"/>
    <col min="513" max="513" width="14.26953125" style="279" customWidth="1"/>
    <col min="514" max="514" width="43.453125" style="279" customWidth="1"/>
    <col min="515" max="521" width="0" style="279" hidden="1" customWidth="1"/>
    <col min="522" max="765" width="9.1796875" style="279"/>
    <col min="766" max="766" width="5" style="279" customWidth="1"/>
    <col min="767" max="767" width="73.81640625" style="279" customWidth="1"/>
    <col min="768" max="768" width="11.54296875" style="279" customWidth="1"/>
    <col min="769" max="769" width="14.26953125" style="279" customWidth="1"/>
    <col min="770" max="770" width="43.453125" style="279" customWidth="1"/>
    <col min="771" max="777" width="0" style="279" hidden="1" customWidth="1"/>
    <col min="778" max="1021" width="9.1796875" style="279"/>
    <col min="1022" max="1022" width="5" style="279" customWidth="1"/>
    <col min="1023" max="1023" width="73.81640625" style="279" customWidth="1"/>
    <col min="1024" max="1024" width="11.54296875" style="279" customWidth="1"/>
    <col min="1025" max="1025" width="14.26953125" style="279" customWidth="1"/>
    <col min="1026" max="1026" width="43.453125" style="279" customWidth="1"/>
    <col min="1027" max="1033" width="0" style="279" hidden="1" customWidth="1"/>
    <col min="1034" max="1277" width="9.1796875" style="279"/>
    <col min="1278" max="1278" width="5" style="279" customWidth="1"/>
    <col min="1279" max="1279" width="73.81640625" style="279" customWidth="1"/>
    <col min="1280" max="1280" width="11.54296875" style="279" customWidth="1"/>
    <col min="1281" max="1281" width="14.26953125" style="279" customWidth="1"/>
    <col min="1282" max="1282" width="43.453125" style="279" customWidth="1"/>
    <col min="1283" max="1289" width="0" style="279" hidden="1" customWidth="1"/>
    <col min="1290" max="1533" width="9.1796875" style="279"/>
    <col min="1534" max="1534" width="5" style="279" customWidth="1"/>
    <col min="1535" max="1535" width="73.81640625" style="279" customWidth="1"/>
    <col min="1536" max="1536" width="11.54296875" style="279" customWidth="1"/>
    <col min="1537" max="1537" width="14.26953125" style="279" customWidth="1"/>
    <col min="1538" max="1538" width="43.453125" style="279" customWidth="1"/>
    <col min="1539" max="1545" width="0" style="279" hidden="1" customWidth="1"/>
    <col min="1546" max="1789" width="9.1796875" style="279"/>
    <col min="1790" max="1790" width="5" style="279" customWidth="1"/>
    <col min="1791" max="1791" width="73.81640625" style="279" customWidth="1"/>
    <col min="1792" max="1792" width="11.54296875" style="279" customWidth="1"/>
    <col min="1793" max="1793" width="14.26953125" style="279" customWidth="1"/>
    <col min="1794" max="1794" width="43.453125" style="279" customWidth="1"/>
    <col min="1795" max="1801" width="0" style="279" hidden="1" customWidth="1"/>
    <col min="1802" max="2045" width="9.1796875" style="279"/>
    <col min="2046" max="2046" width="5" style="279" customWidth="1"/>
    <col min="2047" max="2047" width="73.81640625" style="279" customWidth="1"/>
    <col min="2048" max="2048" width="11.54296875" style="279" customWidth="1"/>
    <col min="2049" max="2049" width="14.26953125" style="279" customWidth="1"/>
    <col min="2050" max="2050" width="43.453125" style="279" customWidth="1"/>
    <col min="2051" max="2057" width="0" style="279" hidden="1" customWidth="1"/>
    <col min="2058" max="2301" width="9.1796875" style="279"/>
    <col min="2302" max="2302" width="5" style="279" customWidth="1"/>
    <col min="2303" max="2303" width="73.81640625" style="279" customWidth="1"/>
    <col min="2304" max="2304" width="11.54296875" style="279" customWidth="1"/>
    <col min="2305" max="2305" width="14.26953125" style="279" customWidth="1"/>
    <col min="2306" max="2306" width="43.453125" style="279" customWidth="1"/>
    <col min="2307" max="2313" width="0" style="279" hidden="1" customWidth="1"/>
    <col min="2314" max="2557" width="9.1796875" style="279"/>
    <col min="2558" max="2558" width="5" style="279" customWidth="1"/>
    <col min="2559" max="2559" width="73.81640625" style="279" customWidth="1"/>
    <col min="2560" max="2560" width="11.54296875" style="279" customWidth="1"/>
    <col min="2561" max="2561" width="14.26953125" style="279" customWidth="1"/>
    <col min="2562" max="2562" width="43.453125" style="279" customWidth="1"/>
    <col min="2563" max="2569" width="0" style="279" hidden="1" customWidth="1"/>
    <col min="2570" max="2813" width="9.1796875" style="279"/>
    <col min="2814" max="2814" width="5" style="279" customWidth="1"/>
    <col min="2815" max="2815" width="73.81640625" style="279" customWidth="1"/>
    <col min="2816" max="2816" width="11.54296875" style="279" customWidth="1"/>
    <col min="2817" max="2817" width="14.26953125" style="279" customWidth="1"/>
    <col min="2818" max="2818" width="43.453125" style="279" customWidth="1"/>
    <col min="2819" max="2825" width="0" style="279" hidden="1" customWidth="1"/>
    <col min="2826" max="3069" width="9.1796875" style="279"/>
    <col min="3070" max="3070" width="5" style="279" customWidth="1"/>
    <col min="3071" max="3071" width="73.81640625" style="279" customWidth="1"/>
    <col min="3072" max="3072" width="11.54296875" style="279" customWidth="1"/>
    <col min="3073" max="3073" width="14.26953125" style="279" customWidth="1"/>
    <col min="3074" max="3074" width="43.453125" style="279" customWidth="1"/>
    <col min="3075" max="3081" width="0" style="279" hidden="1" customWidth="1"/>
    <col min="3082" max="3325" width="9.1796875" style="279"/>
    <col min="3326" max="3326" width="5" style="279" customWidth="1"/>
    <col min="3327" max="3327" width="73.81640625" style="279" customWidth="1"/>
    <col min="3328" max="3328" width="11.54296875" style="279" customWidth="1"/>
    <col min="3329" max="3329" width="14.26953125" style="279" customWidth="1"/>
    <col min="3330" max="3330" width="43.453125" style="279" customWidth="1"/>
    <col min="3331" max="3337" width="0" style="279" hidden="1" customWidth="1"/>
    <col min="3338" max="3581" width="9.1796875" style="279"/>
    <col min="3582" max="3582" width="5" style="279" customWidth="1"/>
    <col min="3583" max="3583" width="73.81640625" style="279" customWidth="1"/>
    <col min="3584" max="3584" width="11.54296875" style="279" customWidth="1"/>
    <col min="3585" max="3585" width="14.26953125" style="279" customWidth="1"/>
    <col min="3586" max="3586" width="43.453125" style="279" customWidth="1"/>
    <col min="3587" max="3593" width="0" style="279" hidden="1" customWidth="1"/>
    <col min="3594" max="3837" width="9.1796875" style="279"/>
    <col min="3838" max="3838" width="5" style="279" customWidth="1"/>
    <col min="3839" max="3839" width="73.81640625" style="279" customWidth="1"/>
    <col min="3840" max="3840" width="11.54296875" style="279" customWidth="1"/>
    <col min="3841" max="3841" width="14.26953125" style="279" customWidth="1"/>
    <col min="3842" max="3842" width="43.453125" style="279" customWidth="1"/>
    <col min="3843" max="3849" width="0" style="279" hidden="1" customWidth="1"/>
    <col min="3850" max="4093" width="9.1796875" style="279"/>
    <col min="4094" max="4094" width="5" style="279" customWidth="1"/>
    <col min="4095" max="4095" width="73.81640625" style="279" customWidth="1"/>
    <col min="4096" max="4096" width="11.54296875" style="279" customWidth="1"/>
    <col min="4097" max="4097" width="14.26953125" style="279" customWidth="1"/>
    <col min="4098" max="4098" width="43.453125" style="279" customWidth="1"/>
    <col min="4099" max="4105" width="0" style="279" hidden="1" customWidth="1"/>
    <col min="4106" max="4349" width="9.1796875" style="279"/>
    <col min="4350" max="4350" width="5" style="279" customWidth="1"/>
    <col min="4351" max="4351" width="73.81640625" style="279" customWidth="1"/>
    <col min="4352" max="4352" width="11.54296875" style="279" customWidth="1"/>
    <col min="4353" max="4353" width="14.26953125" style="279" customWidth="1"/>
    <col min="4354" max="4354" width="43.453125" style="279" customWidth="1"/>
    <col min="4355" max="4361" width="0" style="279" hidden="1" customWidth="1"/>
    <col min="4362" max="4605" width="9.1796875" style="279"/>
    <col min="4606" max="4606" width="5" style="279" customWidth="1"/>
    <col min="4607" max="4607" width="73.81640625" style="279" customWidth="1"/>
    <col min="4608" max="4608" width="11.54296875" style="279" customWidth="1"/>
    <col min="4609" max="4609" width="14.26953125" style="279" customWidth="1"/>
    <col min="4610" max="4610" width="43.453125" style="279" customWidth="1"/>
    <col min="4611" max="4617" width="0" style="279" hidden="1" customWidth="1"/>
    <col min="4618" max="4861" width="9.1796875" style="279"/>
    <col min="4862" max="4862" width="5" style="279" customWidth="1"/>
    <col min="4863" max="4863" width="73.81640625" style="279" customWidth="1"/>
    <col min="4864" max="4864" width="11.54296875" style="279" customWidth="1"/>
    <col min="4865" max="4865" width="14.26953125" style="279" customWidth="1"/>
    <col min="4866" max="4866" width="43.453125" style="279" customWidth="1"/>
    <col min="4867" max="4873" width="0" style="279" hidden="1" customWidth="1"/>
    <col min="4874" max="5117" width="9.1796875" style="279"/>
    <col min="5118" max="5118" width="5" style="279" customWidth="1"/>
    <col min="5119" max="5119" width="73.81640625" style="279" customWidth="1"/>
    <col min="5120" max="5120" width="11.54296875" style="279" customWidth="1"/>
    <col min="5121" max="5121" width="14.26953125" style="279" customWidth="1"/>
    <col min="5122" max="5122" width="43.453125" style="279" customWidth="1"/>
    <col min="5123" max="5129" width="0" style="279" hidden="1" customWidth="1"/>
    <col min="5130" max="5373" width="9.1796875" style="279"/>
    <col min="5374" max="5374" width="5" style="279" customWidth="1"/>
    <col min="5375" max="5375" width="73.81640625" style="279" customWidth="1"/>
    <col min="5376" max="5376" width="11.54296875" style="279" customWidth="1"/>
    <col min="5377" max="5377" width="14.26953125" style="279" customWidth="1"/>
    <col min="5378" max="5378" width="43.453125" style="279" customWidth="1"/>
    <col min="5379" max="5385" width="0" style="279" hidden="1" customWidth="1"/>
    <col min="5386" max="5629" width="9.1796875" style="279"/>
    <col min="5630" max="5630" width="5" style="279" customWidth="1"/>
    <col min="5631" max="5631" width="73.81640625" style="279" customWidth="1"/>
    <col min="5632" max="5632" width="11.54296875" style="279" customWidth="1"/>
    <col min="5633" max="5633" width="14.26953125" style="279" customWidth="1"/>
    <col min="5634" max="5634" width="43.453125" style="279" customWidth="1"/>
    <col min="5635" max="5641" width="0" style="279" hidden="1" customWidth="1"/>
    <col min="5642" max="5885" width="9.1796875" style="279"/>
    <col min="5886" max="5886" width="5" style="279" customWidth="1"/>
    <col min="5887" max="5887" width="73.81640625" style="279" customWidth="1"/>
    <col min="5888" max="5888" width="11.54296875" style="279" customWidth="1"/>
    <col min="5889" max="5889" width="14.26953125" style="279" customWidth="1"/>
    <col min="5890" max="5890" width="43.453125" style="279" customWidth="1"/>
    <col min="5891" max="5897" width="0" style="279" hidden="1" customWidth="1"/>
    <col min="5898" max="6141" width="9.1796875" style="279"/>
    <col min="6142" max="6142" width="5" style="279" customWidth="1"/>
    <col min="6143" max="6143" width="73.81640625" style="279" customWidth="1"/>
    <col min="6144" max="6144" width="11.54296875" style="279" customWidth="1"/>
    <col min="6145" max="6145" width="14.26953125" style="279" customWidth="1"/>
    <col min="6146" max="6146" width="43.453125" style="279" customWidth="1"/>
    <col min="6147" max="6153" width="0" style="279" hidden="1" customWidth="1"/>
    <col min="6154" max="6397" width="9.1796875" style="279"/>
    <col min="6398" max="6398" width="5" style="279" customWidth="1"/>
    <col min="6399" max="6399" width="73.81640625" style="279" customWidth="1"/>
    <col min="6400" max="6400" width="11.54296875" style="279" customWidth="1"/>
    <col min="6401" max="6401" width="14.26953125" style="279" customWidth="1"/>
    <col min="6402" max="6402" width="43.453125" style="279" customWidth="1"/>
    <col min="6403" max="6409" width="0" style="279" hidden="1" customWidth="1"/>
    <col min="6410" max="6653" width="9.1796875" style="279"/>
    <col min="6654" max="6654" width="5" style="279" customWidth="1"/>
    <col min="6655" max="6655" width="73.81640625" style="279" customWidth="1"/>
    <col min="6656" max="6656" width="11.54296875" style="279" customWidth="1"/>
    <col min="6657" max="6657" width="14.26953125" style="279" customWidth="1"/>
    <col min="6658" max="6658" width="43.453125" style="279" customWidth="1"/>
    <col min="6659" max="6665" width="0" style="279" hidden="1" customWidth="1"/>
    <col min="6666" max="6909" width="9.1796875" style="279"/>
    <col min="6910" max="6910" width="5" style="279" customWidth="1"/>
    <col min="6911" max="6911" width="73.81640625" style="279" customWidth="1"/>
    <col min="6912" max="6912" width="11.54296875" style="279" customWidth="1"/>
    <col min="6913" max="6913" width="14.26953125" style="279" customWidth="1"/>
    <col min="6914" max="6914" width="43.453125" style="279" customWidth="1"/>
    <col min="6915" max="6921" width="0" style="279" hidden="1" customWidth="1"/>
    <col min="6922" max="7165" width="9.1796875" style="279"/>
    <col min="7166" max="7166" width="5" style="279" customWidth="1"/>
    <col min="7167" max="7167" width="73.81640625" style="279" customWidth="1"/>
    <col min="7168" max="7168" width="11.54296875" style="279" customWidth="1"/>
    <col min="7169" max="7169" width="14.26953125" style="279" customWidth="1"/>
    <col min="7170" max="7170" width="43.453125" style="279" customWidth="1"/>
    <col min="7171" max="7177" width="0" style="279" hidden="1" customWidth="1"/>
    <col min="7178" max="7421" width="9.1796875" style="279"/>
    <col min="7422" max="7422" width="5" style="279" customWidth="1"/>
    <col min="7423" max="7423" width="73.81640625" style="279" customWidth="1"/>
    <col min="7424" max="7424" width="11.54296875" style="279" customWidth="1"/>
    <col min="7425" max="7425" width="14.26953125" style="279" customWidth="1"/>
    <col min="7426" max="7426" width="43.453125" style="279" customWidth="1"/>
    <col min="7427" max="7433" width="0" style="279" hidden="1" customWidth="1"/>
    <col min="7434" max="7677" width="9.1796875" style="279"/>
    <col min="7678" max="7678" width="5" style="279" customWidth="1"/>
    <col min="7679" max="7679" width="73.81640625" style="279" customWidth="1"/>
    <col min="7680" max="7680" width="11.54296875" style="279" customWidth="1"/>
    <col min="7681" max="7681" width="14.26953125" style="279" customWidth="1"/>
    <col min="7682" max="7682" width="43.453125" style="279" customWidth="1"/>
    <col min="7683" max="7689" width="0" style="279" hidden="1" customWidth="1"/>
    <col min="7690" max="7933" width="9.1796875" style="279"/>
    <col min="7934" max="7934" width="5" style="279" customWidth="1"/>
    <col min="7935" max="7935" width="73.81640625" style="279" customWidth="1"/>
    <col min="7936" max="7936" width="11.54296875" style="279" customWidth="1"/>
    <col min="7937" max="7937" width="14.26953125" style="279" customWidth="1"/>
    <col min="7938" max="7938" width="43.453125" style="279" customWidth="1"/>
    <col min="7939" max="7945" width="0" style="279" hidden="1" customWidth="1"/>
    <col min="7946" max="8189" width="9.1796875" style="279"/>
    <col min="8190" max="8190" width="5" style="279" customWidth="1"/>
    <col min="8191" max="8191" width="73.81640625" style="279" customWidth="1"/>
    <col min="8192" max="8192" width="11.54296875" style="279" customWidth="1"/>
    <col min="8193" max="8193" width="14.26953125" style="279" customWidth="1"/>
    <col min="8194" max="8194" width="43.453125" style="279" customWidth="1"/>
    <col min="8195" max="8201" width="0" style="279" hidden="1" customWidth="1"/>
    <col min="8202" max="8445" width="9.1796875" style="279"/>
    <col min="8446" max="8446" width="5" style="279" customWidth="1"/>
    <col min="8447" max="8447" width="73.81640625" style="279" customWidth="1"/>
    <col min="8448" max="8448" width="11.54296875" style="279" customWidth="1"/>
    <col min="8449" max="8449" width="14.26953125" style="279" customWidth="1"/>
    <col min="8450" max="8450" width="43.453125" style="279" customWidth="1"/>
    <col min="8451" max="8457" width="0" style="279" hidden="1" customWidth="1"/>
    <col min="8458" max="8701" width="9.1796875" style="279"/>
    <col min="8702" max="8702" width="5" style="279" customWidth="1"/>
    <col min="8703" max="8703" width="73.81640625" style="279" customWidth="1"/>
    <col min="8704" max="8704" width="11.54296875" style="279" customWidth="1"/>
    <col min="8705" max="8705" width="14.26953125" style="279" customWidth="1"/>
    <col min="8706" max="8706" width="43.453125" style="279" customWidth="1"/>
    <col min="8707" max="8713" width="0" style="279" hidden="1" customWidth="1"/>
    <col min="8714" max="8957" width="9.1796875" style="279"/>
    <col min="8958" max="8958" width="5" style="279" customWidth="1"/>
    <col min="8959" max="8959" width="73.81640625" style="279" customWidth="1"/>
    <col min="8960" max="8960" width="11.54296875" style="279" customWidth="1"/>
    <col min="8961" max="8961" width="14.26953125" style="279" customWidth="1"/>
    <col min="8962" max="8962" width="43.453125" style="279" customWidth="1"/>
    <col min="8963" max="8969" width="0" style="279" hidden="1" customWidth="1"/>
    <col min="8970" max="9213" width="9.1796875" style="279"/>
    <col min="9214" max="9214" width="5" style="279" customWidth="1"/>
    <col min="9215" max="9215" width="73.81640625" style="279" customWidth="1"/>
    <col min="9216" max="9216" width="11.54296875" style="279" customWidth="1"/>
    <col min="9217" max="9217" width="14.26953125" style="279" customWidth="1"/>
    <col min="9218" max="9218" width="43.453125" style="279" customWidth="1"/>
    <col min="9219" max="9225" width="0" style="279" hidden="1" customWidth="1"/>
    <col min="9226" max="9469" width="9.1796875" style="279"/>
    <col min="9470" max="9470" width="5" style="279" customWidth="1"/>
    <col min="9471" max="9471" width="73.81640625" style="279" customWidth="1"/>
    <col min="9472" max="9472" width="11.54296875" style="279" customWidth="1"/>
    <col min="9473" max="9473" width="14.26953125" style="279" customWidth="1"/>
    <col min="9474" max="9474" width="43.453125" style="279" customWidth="1"/>
    <col min="9475" max="9481" width="0" style="279" hidden="1" customWidth="1"/>
    <col min="9482" max="9725" width="9.1796875" style="279"/>
    <col min="9726" max="9726" width="5" style="279" customWidth="1"/>
    <col min="9727" max="9727" width="73.81640625" style="279" customWidth="1"/>
    <col min="9728" max="9728" width="11.54296875" style="279" customWidth="1"/>
    <col min="9729" max="9729" width="14.26953125" style="279" customWidth="1"/>
    <col min="9730" max="9730" width="43.453125" style="279" customWidth="1"/>
    <col min="9731" max="9737" width="0" style="279" hidden="1" customWidth="1"/>
    <col min="9738" max="9981" width="9.1796875" style="279"/>
    <col min="9982" max="9982" width="5" style="279" customWidth="1"/>
    <col min="9983" max="9983" width="73.81640625" style="279" customWidth="1"/>
    <col min="9984" max="9984" width="11.54296875" style="279" customWidth="1"/>
    <col min="9985" max="9985" width="14.26953125" style="279" customWidth="1"/>
    <col min="9986" max="9986" width="43.453125" style="279" customWidth="1"/>
    <col min="9987" max="9993" width="0" style="279" hidden="1" customWidth="1"/>
    <col min="9994" max="10237" width="9.1796875" style="279"/>
    <col min="10238" max="10238" width="5" style="279" customWidth="1"/>
    <col min="10239" max="10239" width="73.81640625" style="279" customWidth="1"/>
    <col min="10240" max="10240" width="11.54296875" style="279" customWidth="1"/>
    <col min="10241" max="10241" width="14.26953125" style="279" customWidth="1"/>
    <col min="10242" max="10242" width="43.453125" style="279" customWidth="1"/>
    <col min="10243" max="10249" width="0" style="279" hidden="1" customWidth="1"/>
    <col min="10250" max="10493" width="9.1796875" style="279"/>
    <col min="10494" max="10494" width="5" style="279" customWidth="1"/>
    <col min="10495" max="10495" width="73.81640625" style="279" customWidth="1"/>
    <col min="10496" max="10496" width="11.54296875" style="279" customWidth="1"/>
    <col min="10497" max="10497" width="14.26953125" style="279" customWidth="1"/>
    <col min="10498" max="10498" width="43.453125" style="279" customWidth="1"/>
    <col min="10499" max="10505" width="0" style="279" hidden="1" customWidth="1"/>
    <col min="10506" max="10749" width="9.1796875" style="279"/>
    <col min="10750" max="10750" width="5" style="279" customWidth="1"/>
    <col min="10751" max="10751" width="73.81640625" style="279" customWidth="1"/>
    <col min="10752" max="10752" width="11.54296875" style="279" customWidth="1"/>
    <col min="10753" max="10753" width="14.26953125" style="279" customWidth="1"/>
    <col min="10754" max="10754" width="43.453125" style="279" customWidth="1"/>
    <col min="10755" max="10761" width="0" style="279" hidden="1" customWidth="1"/>
    <col min="10762" max="11005" width="9.1796875" style="279"/>
    <col min="11006" max="11006" width="5" style="279" customWidth="1"/>
    <col min="11007" max="11007" width="73.81640625" style="279" customWidth="1"/>
    <col min="11008" max="11008" width="11.54296875" style="279" customWidth="1"/>
    <col min="11009" max="11009" width="14.26953125" style="279" customWidth="1"/>
    <col min="11010" max="11010" width="43.453125" style="279" customWidth="1"/>
    <col min="11011" max="11017" width="0" style="279" hidden="1" customWidth="1"/>
    <col min="11018" max="11261" width="9.1796875" style="279"/>
    <col min="11262" max="11262" width="5" style="279" customWidth="1"/>
    <col min="11263" max="11263" width="73.81640625" style="279" customWidth="1"/>
    <col min="11264" max="11264" width="11.54296875" style="279" customWidth="1"/>
    <col min="11265" max="11265" width="14.26953125" style="279" customWidth="1"/>
    <col min="11266" max="11266" width="43.453125" style="279" customWidth="1"/>
    <col min="11267" max="11273" width="0" style="279" hidden="1" customWidth="1"/>
    <col min="11274" max="11517" width="9.1796875" style="279"/>
    <col min="11518" max="11518" width="5" style="279" customWidth="1"/>
    <col min="11519" max="11519" width="73.81640625" style="279" customWidth="1"/>
    <col min="11520" max="11520" width="11.54296875" style="279" customWidth="1"/>
    <col min="11521" max="11521" width="14.26953125" style="279" customWidth="1"/>
    <col min="11522" max="11522" width="43.453125" style="279" customWidth="1"/>
    <col min="11523" max="11529" width="0" style="279" hidden="1" customWidth="1"/>
    <col min="11530" max="11773" width="9.1796875" style="279"/>
    <col min="11774" max="11774" width="5" style="279" customWidth="1"/>
    <col min="11775" max="11775" width="73.81640625" style="279" customWidth="1"/>
    <col min="11776" max="11776" width="11.54296875" style="279" customWidth="1"/>
    <col min="11777" max="11777" width="14.26953125" style="279" customWidth="1"/>
    <col min="11778" max="11778" width="43.453125" style="279" customWidth="1"/>
    <col min="11779" max="11785" width="0" style="279" hidden="1" customWidth="1"/>
    <col min="11786" max="12029" width="9.1796875" style="279"/>
    <col min="12030" max="12030" width="5" style="279" customWidth="1"/>
    <col min="12031" max="12031" width="73.81640625" style="279" customWidth="1"/>
    <col min="12032" max="12032" width="11.54296875" style="279" customWidth="1"/>
    <col min="12033" max="12033" width="14.26953125" style="279" customWidth="1"/>
    <col min="12034" max="12034" width="43.453125" style="279" customWidth="1"/>
    <col min="12035" max="12041" width="0" style="279" hidden="1" customWidth="1"/>
    <col min="12042" max="12285" width="9.1796875" style="279"/>
    <col min="12286" max="12286" width="5" style="279" customWidth="1"/>
    <col min="12287" max="12287" width="73.81640625" style="279" customWidth="1"/>
    <col min="12288" max="12288" width="11.54296875" style="279" customWidth="1"/>
    <col min="12289" max="12289" width="14.26953125" style="279" customWidth="1"/>
    <col min="12290" max="12290" width="43.453125" style="279" customWidth="1"/>
    <col min="12291" max="12297" width="0" style="279" hidden="1" customWidth="1"/>
    <col min="12298" max="12541" width="9.1796875" style="279"/>
    <col min="12542" max="12542" width="5" style="279" customWidth="1"/>
    <col min="12543" max="12543" width="73.81640625" style="279" customWidth="1"/>
    <col min="12544" max="12544" width="11.54296875" style="279" customWidth="1"/>
    <col min="12545" max="12545" width="14.26953125" style="279" customWidth="1"/>
    <col min="12546" max="12546" width="43.453125" style="279" customWidth="1"/>
    <col min="12547" max="12553" width="0" style="279" hidden="1" customWidth="1"/>
    <col min="12554" max="12797" width="9.1796875" style="279"/>
    <col min="12798" max="12798" width="5" style="279" customWidth="1"/>
    <col min="12799" max="12799" width="73.81640625" style="279" customWidth="1"/>
    <col min="12800" max="12800" width="11.54296875" style="279" customWidth="1"/>
    <col min="12801" max="12801" width="14.26953125" style="279" customWidth="1"/>
    <col min="12802" max="12802" width="43.453125" style="279" customWidth="1"/>
    <col min="12803" max="12809" width="0" style="279" hidden="1" customWidth="1"/>
    <col min="12810" max="13053" width="9.1796875" style="279"/>
    <col min="13054" max="13054" width="5" style="279" customWidth="1"/>
    <col min="13055" max="13055" width="73.81640625" style="279" customWidth="1"/>
    <col min="13056" max="13056" width="11.54296875" style="279" customWidth="1"/>
    <col min="13057" max="13057" width="14.26953125" style="279" customWidth="1"/>
    <col min="13058" max="13058" width="43.453125" style="279" customWidth="1"/>
    <col min="13059" max="13065" width="0" style="279" hidden="1" customWidth="1"/>
    <col min="13066" max="13309" width="9.1796875" style="279"/>
    <col min="13310" max="13310" width="5" style="279" customWidth="1"/>
    <col min="13311" max="13311" width="73.81640625" style="279" customWidth="1"/>
    <col min="13312" max="13312" width="11.54296875" style="279" customWidth="1"/>
    <col min="13313" max="13313" width="14.26953125" style="279" customWidth="1"/>
    <col min="13314" max="13314" width="43.453125" style="279" customWidth="1"/>
    <col min="13315" max="13321" width="0" style="279" hidden="1" customWidth="1"/>
    <col min="13322" max="13565" width="9.1796875" style="279"/>
    <col min="13566" max="13566" width="5" style="279" customWidth="1"/>
    <col min="13567" max="13567" width="73.81640625" style="279" customWidth="1"/>
    <col min="13568" max="13568" width="11.54296875" style="279" customWidth="1"/>
    <col min="13569" max="13569" width="14.26953125" style="279" customWidth="1"/>
    <col min="13570" max="13570" width="43.453125" style="279" customWidth="1"/>
    <col min="13571" max="13577" width="0" style="279" hidden="1" customWidth="1"/>
    <col min="13578" max="13821" width="9.1796875" style="279"/>
    <col min="13822" max="13822" width="5" style="279" customWidth="1"/>
    <col min="13823" max="13823" width="73.81640625" style="279" customWidth="1"/>
    <col min="13824" max="13824" width="11.54296875" style="279" customWidth="1"/>
    <col min="13825" max="13825" width="14.26953125" style="279" customWidth="1"/>
    <col min="13826" max="13826" width="43.453125" style="279" customWidth="1"/>
    <col min="13827" max="13833" width="0" style="279" hidden="1" customWidth="1"/>
    <col min="13834" max="14077" width="9.1796875" style="279"/>
    <col min="14078" max="14078" width="5" style="279" customWidth="1"/>
    <col min="14079" max="14079" width="73.81640625" style="279" customWidth="1"/>
    <col min="14080" max="14080" width="11.54296875" style="279" customWidth="1"/>
    <col min="14081" max="14081" width="14.26953125" style="279" customWidth="1"/>
    <col min="14082" max="14082" width="43.453125" style="279" customWidth="1"/>
    <col min="14083" max="14089" width="0" style="279" hidden="1" customWidth="1"/>
    <col min="14090" max="14333" width="9.1796875" style="279"/>
    <col min="14334" max="14334" width="5" style="279" customWidth="1"/>
    <col min="14335" max="14335" width="73.81640625" style="279" customWidth="1"/>
    <col min="14336" max="14336" width="11.54296875" style="279" customWidth="1"/>
    <col min="14337" max="14337" width="14.26953125" style="279" customWidth="1"/>
    <col min="14338" max="14338" width="43.453125" style="279" customWidth="1"/>
    <col min="14339" max="14345" width="0" style="279" hidden="1" customWidth="1"/>
    <col min="14346" max="14589" width="9.1796875" style="279"/>
    <col min="14590" max="14590" width="5" style="279" customWidth="1"/>
    <col min="14591" max="14591" width="73.81640625" style="279" customWidth="1"/>
    <col min="14592" max="14592" width="11.54296875" style="279" customWidth="1"/>
    <col min="14593" max="14593" width="14.26953125" style="279" customWidth="1"/>
    <col min="14594" max="14594" width="43.453125" style="279" customWidth="1"/>
    <col min="14595" max="14601" width="0" style="279" hidden="1" customWidth="1"/>
    <col min="14602" max="14845" width="9.1796875" style="279"/>
    <col min="14846" max="14846" width="5" style="279" customWidth="1"/>
    <col min="14847" max="14847" width="73.81640625" style="279" customWidth="1"/>
    <col min="14848" max="14848" width="11.54296875" style="279" customWidth="1"/>
    <col min="14849" max="14849" width="14.26953125" style="279" customWidth="1"/>
    <col min="14850" max="14850" width="43.453125" style="279" customWidth="1"/>
    <col min="14851" max="14857" width="0" style="279" hidden="1" customWidth="1"/>
    <col min="14858" max="15101" width="9.1796875" style="279"/>
    <col min="15102" max="15102" width="5" style="279" customWidth="1"/>
    <col min="15103" max="15103" width="73.81640625" style="279" customWidth="1"/>
    <col min="15104" max="15104" width="11.54296875" style="279" customWidth="1"/>
    <col min="15105" max="15105" width="14.26953125" style="279" customWidth="1"/>
    <col min="15106" max="15106" width="43.453125" style="279" customWidth="1"/>
    <col min="15107" max="15113" width="0" style="279" hidden="1" customWidth="1"/>
    <col min="15114" max="15357" width="9.1796875" style="279"/>
    <col min="15358" max="15358" width="5" style="279" customWidth="1"/>
    <col min="15359" max="15359" width="73.81640625" style="279" customWidth="1"/>
    <col min="15360" max="15360" width="11.54296875" style="279" customWidth="1"/>
    <col min="15361" max="15361" width="14.26953125" style="279" customWidth="1"/>
    <col min="15362" max="15362" width="43.453125" style="279" customWidth="1"/>
    <col min="15363" max="15369" width="0" style="279" hidden="1" customWidth="1"/>
    <col min="15370" max="15613" width="9.1796875" style="279"/>
    <col min="15614" max="15614" width="5" style="279" customWidth="1"/>
    <col min="15615" max="15615" width="73.81640625" style="279" customWidth="1"/>
    <col min="15616" max="15616" width="11.54296875" style="279" customWidth="1"/>
    <col min="15617" max="15617" width="14.26953125" style="279" customWidth="1"/>
    <col min="15618" max="15618" width="43.453125" style="279" customWidth="1"/>
    <col min="15619" max="15625" width="0" style="279" hidden="1" customWidth="1"/>
    <col min="15626" max="15869" width="9.1796875" style="279"/>
    <col min="15870" max="15870" width="5" style="279" customWidth="1"/>
    <col min="15871" max="15871" width="73.81640625" style="279" customWidth="1"/>
    <col min="15872" max="15872" width="11.54296875" style="279" customWidth="1"/>
    <col min="15873" max="15873" width="14.26953125" style="279" customWidth="1"/>
    <col min="15874" max="15874" width="43.453125" style="279" customWidth="1"/>
    <col min="15875" max="15881" width="0" style="279" hidden="1" customWidth="1"/>
    <col min="15882" max="16125" width="9.1796875" style="279"/>
    <col min="16126" max="16126" width="5" style="279" customWidth="1"/>
    <col min="16127" max="16127" width="73.81640625" style="279" customWidth="1"/>
    <col min="16128" max="16128" width="11.54296875" style="279" customWidth="1"/>
    <col min="16129" max="16129" width="14.26953125" style="279" customWidth="1"/>
    <col min="16130" max="16130" width="43.453125" style="279" customWidth="1"/>
    <col min="16131" max="16137" width="0" style="279" hidden="1" customWidth="1"/>
    <col min="16138" max="16384" width="9.1796875" style="279"/>
  </cols>
  <sheetData>
    <row r="1" spans="1:8" ht="18" hidden="1">
      <c r="A1" s="275" t="s">
        <v>383</v>
      </c>
      <c r="B1" s="276"/>
      <c r="C1" s="277"/>
      <c r="D1" s="278"/>
    </row>
    <row r="2" spans="1:8" ht="18">
      <c r="A2" s="275"/>
      <c r="B2" s="276"/>
      <c r="C2" s="277"/>
      <c r="D2" s="278" t="s">
        <v>495</v>
      </c>
    </row>
    <row r="3" spans="1:8" ht="27" customHeight="1">
      <c r="A3" s="405" t="s">
        <v>384</v>
      </c>
      <c r="B3" s="405"/>
      <c r="C3" s="405"/>
      <c r="D3" s="405"/>
    </row>
    <row r="4" spans="1:8" ht="21" customHeight="1">
      <c r="A4" s="406" t="str">
        <f>+'Chi xã, TT 2023'!A3:V3</f>
        <v>(Kèm theo Báo cáo số            /BC-UBND ngày       tháng 12 năm 2022 của UBND huyện Tuần Giáo)</v>
      </c>
      <c r="B4" s="406"/>
      <c r="C4" s="406"/>
      <c r="D4" s="406"/>
    </row>
    <row r="5" spans="1:8" ht="23.25" customHeight="1">
      <c r="A5" s="276"/>
      <c r="B5" s="281"/>
      <c r="C5" s="407" t="s">
        <v>385</v>
      </c>
      <c r="D5" s="407"/>
    </row>
    <row r="6" spans="1:8" ht="30.65" customHeight="1">
      <c r="A6" s="282" t="s">
        <v>386</v>
      </c>
      <c r="B6" s="282" t="s">
        <v>97</v>
      </c>
      <c r="C6" s="282" t="s">
        <v>113</v>
      </c>
      <c r="D6" s="282" t="s">
        <v>387</v>
      </c>
    </row>
    <row r="7" spans="1:8" ht="23.25" customHeight="1">
      <c r="A7" s="283" t="s">
        <v>1</v>
      </c>
      <c r="B7" s="284" t="s">
        <v>388</v>
      </c>
      <c r="C7" s="285">
        <f>C8+C9</f>
        <v>423994</v>
      </c>
      <c r="D7" s="286"/>
    </row>
    <row r="8" spans="1:8" ht="23.25" customHeight="1">
      <c r="A8" s="27"/>
      <c r="B8" s="287" t="s">
        <v>389</v>
      </c>
      <c r="C8" s="288">
        <f>C10</f>
        <v>423794</v>
      </c>
      <c r="D8" s="289"/>
    </row>
    <row r="9" spans="1:8" ht="23.25" customHeight="1">
      <c r="A9" s="27"/>
      <c r="B9" s="287" t="s">
        <v>390</v>
      </c>
      <c r="C9" s="288">
        <v>200</v>
      </c>
      <c r="D9" s="289"/>
    </row>
    <row r="10" spans="1:8" s="290" customFormat="1" ht="23.25" customHeight="1">
      <c r="A10" s="283" t="s">
        <v>391</v>
      </c>
      <c r="B10" s="284" t="s">
        <v>392</v>
      </c>
      <c r="C10" s="285">
        <f>C11+C14</f>
        <v>423794</v>
      </c>
      <c r="D10" s="286"/>
      <c r="F10" s="291"/>
      <c r="G10" s="291"/>
      <c r="H10" s="291"/>
    </row>
    <row r="11" spans="1:8" s="290" customFormat="1" ht="23.25" customHeight="1">
      <c r="A11" s="283" t="s">
        <v>3</v>
      </c>
      <c r="B11" s="284" t="s">
        <v>393</v>
      </c>
      <c r="C11" s="285">
        <f>C12+C13</f>
        <v>200</v>
      </c>
      <c r="D11" s="286"/>
      <c r="F11" s="291"/>
      <c r="G11" s="291"/>
      <c r="H11" s="291"/>
    </row>
    <row r="12" spans="1:8" s="290" customFormat="1" ht="23.25" customHeight="1">
      <c r="A12" s="283"/>
      <c r="B12" s="292" t="s">
        <v>394</v>
      </c>
      <c r="C12" s="288">
        <f>200*40%</f>
        <v>80</v>
      </c>
      <c r="D12" s="289"/>
      <c r="F12" s="291"/>
      <c r="G12" s="291"/>
      <c r="H12" s="291"/>
    </row>
    <row r="13" spans="1:8" s="290" customFormat="1" ht="23.25" customHeight="1">
      <c r="A13" s="283"/>
      <c r="B13" s="292" t="s">
        <v>395</v>
      </c>
      <c r="C13" s="288">
        <v>120</v>
      </c>
      <c r="D13" s="289"/>
      <c r="F13" s="291"/>
      <c r="G13" s="291"/>
      <c r="H13" s="291"/>
    </row>
    <row r="14" spans="1:8" s="298" customFormat="1" ht="32.25" customHeight="1">
      <c r="A14" s="293" t="s">
        <v>4</v>
      </c>
      <c r="B14" s="294" t="s">
        <v>396</v>
      </c>
      <c r="C14" s="295">
        <f>C15+C30</f>
        <v>423594</v>
      </c>
      <c r="D14" s="296"/>
      <c r="E14" s="297" t="s">
        <v>397</v>
      </c>
    </row>
    <row r="15" spans="1:8" s="290" customFormat="1" ht="23.25" customHeight="1">
      <c r="A15" s="283" t="s">
        <v>398</v>
      </c>
      <c r="B15" s="299" t="s">
        <v>399</v>
      </c>
      <c r="C15" s="285">
        <f>C16+C19</f>
        <v>367281</v>
      </c>
      <c r="D15" s="286"/>
      <c r="F15" s="291"/>
      <c r="G15" s="291"/>
      <c r="H15" s="291"/>
    </row>
    <row r="16" spans="1:8" s="290" customFormat="1" ht="26.25" customHeight="1">
      <c r="A16" s="283">
        <v>1</v>
      </c>
      <c r="B16" s="299" t="s">
        <v>400</v>
      </c>
      <c r="C16" s="285">
        <f>C17+C18</f>
        <v>294942</v>
      </c>
      <c r="D16" s="286" t="s">
        <v>401</v>
      </c>
      <c r="F16" s="291"/>
      <c r="G16" s="291"/>
      <c r="H16" s="291"/>
    </row>
    <row r="17" spans="1:8" ht="38.25" customHeight="1">
      <c r="A17" s="27" t="s">
        <v>402</v>
      </c>
      <c r="B17" s="300" t="s">
        <v>403</v>
      </c>
      <c r="C17" s="288">
        <v>283566</v>
      </c>
      <c r="D17" s="286"/>
    </row>
    <row r="18" spans="1:8" ht="39.65" customHeight="1">
      <c r="A18" s="27" t="s">
        <v>404</v>
      </c>
      <c r="B18" s="300" t="s">
        <v>405</v>
      </c>
      <c r="C18" s="288">
        <f>1896*6</f>
        <v>11376</v>
      </c>
      <c r="D18" s="286"/>
      <c r="E18" s="301"/>
    </row>
    <row r="19" spans="1:8" s="290" customFormat="1" ht="35.25" customHeight="1">
      <c r="A19" s="283">
        <v>2</v>
      </c>
      <c r="B19" s="299" t="s">
        <v>406</v>
      </c>
      <c r="C19" s="285">
        <f>C20+C24+C25+C28+C29</f>
        <v>72339</v>
      </c>
      <c r="D19" s="302" t="s">
        <v>407</v>
      </c>
      <c r="F19" s="291"/>
      <c r="G19" s="291"/>
      <c r="H19" s="291"/>
    </row>
    <row r="20" spans="1:8" s="290" customFormat="1" ht="23.25" customHeight="1">
      <c r="A20" s="27" t="s">
        <v>408</v>
      </c>
      <c r="B20" s="292" t="s">
        <v>409</v>
      </c>
      <c r="C20" s="303">
        <f>C21+C22+C23</f>
        <v>10557</v>
      </c>
      <c r="D20" s="286"/>
      <c r="F20" s="291"/>
      <c r="G20" s="291"/>
      <c r="H20" s="291"/>
    </row>
    <row r="21" spans="1:8" s="290" customFormat="1" ht="23.25" customHeight="1">
      <c r="A21" s="27"/>
      <c r="B21" s="292" t="s">
        <v>410</v>
      </c>
      <c r="C21" s="304">
        <v>7334</v>
      </c>
      <c r="D21" s="286"/>
      <c r="F21" s="291"/>
      <c r="G21" s="291"/>
      <c r="H21" s="291"/>
    </row>
    <row r="22" spans="1:8" s="290" customFormat="1" ht="23.25" customHeight="1">
      <c r="A22" s="27"/>
      <c r="B22" s="292" t="s">
        <v>411</v>
      </c>
      <c r="C22" s="304">
        <v>2117</v>
      </c>
      <c r="D22" s="286"/>
      <c r="F22" s="291"/>
      <c r="G22" s="291"/>
      <c r="H22" s="291"/>
    </row>
    <row r="23" spans="1:8" s="290" customFormat="1" ht="23.25" customHeight="1">
      <c r="A23" s="27"/>
      <c r="B23" s="292" t="s">
        <v>412</v>
      </c>
      <c r="C23" s="304">
        <v>1106</v>
      </c>
      <c r="D23" s="286"/>
      <c r="F23" s="291"/>
      <c r="G23" s="291"/>
      <c r="H23" s="291"/>
    </row>
    <row r="24" spans="1:8" ht="23.25" customHeight="1">
      <c r="A24" s="27" t="s">
        <v>413</v>
      </c>
      <c r="B24" s="292" t="s">
        <v>414</v>
      </c>
      <c r="C24" s="303">
        <v>27294</v>
      </c>
      <c r="D24" s="286"/>
    </row>
    <row r="25" spans="1:8" ht="23.25" customHeight="1">
      <c r="A25" s="27" t="s">
        <v>415</v>
      </c>
      <c r="B25" s="292" t="s">
        <v>416</v>
      </c>
      <c r="C25" s="303">
        <f>C26+C27</f>
        <v>29712</v>
      </c>
      <c r="D25" s="286"/>
    </row>
    <row r="26" spans="1:8" ht="23.25" customHeight="1">
      <c r="A26" s="27"/>
      <c r="B26" s="292" t="s">
        <v>417</v>
      </c>
      <c r="C26" s="304">
        <v>28077</v>
      </c>
      <c r="D26" s="286"/>
      <c r="E26" s="301"/>
    </row>
    <row r="27" spans="1:8" s="290" customFormat="1" ht="23.25" customHeight="1">
      <c r="A27" s="27"/>
      <c r="B27" s="292" t="s">
        <v>418</v>
      </c>
      <c r="C27" s="304">
        <v>1635</v>
      </c>
      <c r="D27" s="286"/>
      <c r="F27" s="291"/>
      <c r="G27" s="291"/>
      <c r="H27" s="291"/>
    </row>
    <row r="28" spans="1:8" ht="23.25" customHeight="1">
      <c r="A28" s="27" t="s">
        <v>419</v>
      </c>
      <c r="B28" s="292" t="s">
        <v>420</v>
      </c>
      <c r="C28" s="303">
        <v>4758</v>
      </c>
      <c r="D28" s="286"/>
    </row>
    <row r="29" spans="1:8" ht="23.25" customHeight="1">
      <c r="A29" s="27" t="s">
        <v>421</v>
      </c>
      <c r="B29" s="292" t="s">
        <v>422</v>
      </c>
      <c r="C29" s="303">
        <v>18</v>
      </c>
      <c r="D29" s="286"/>
    </row>
    <row r="30" spans="1:8" s="290" customFormat="1" ht="27.75" customHeight="1">
      <c r="A30" s="283" t="s">
        <v>423</v>
      </c>
      <c r="B30" s="299" t="s">
        <v>424</v>
      </c>
      <c r="C30" s="305">
        <f>C31+C34+C38+C39+C47</f>
        <v>56313</v>
      </c>
      <c r="D30" s="286"/>
      <c r="F30" s="291"/>
      <c r="G30" s="291"/>
      <c r="H30" s="291"/>
    </row>
    <row r="31" spans="1:8" s="306" customFormat="1" ht="25.5" customHeight="1">
      <c r="A31" s="283">
        <v>1</v>
      </c>
      <c r="B31" s="299" t="s">
        <v>425</v>
      </c>
      <c r="C31" s="305">
        <f>C32+C33</f>
        <v>20924</v>
      </c>
      <c r="D31" s="302" t="s">
        <v>407</v>
      </c>
      <c r="F31" s="307"/>
      <c r="G31" s="307"/>
      <c r="H31" s="307"/>
    </row>
    <row r="32" spans="1:8" ht="23.25" customHeight="1">
      <c r="A32" s="27" t="s">
        <v>402</v>
      </c>
      <c r="B32" s="292" t="s">
        <v>426</v>
      </c>
      <c r="C32" s="303">
        <f>'[2] SC, DUY TU TRƯỜNG HỌC'!R8</f>
        <v>8354</v>
      </c>
      <c r="D32" s="408"/>
    </row>
    <row r="33" spans="1:8" ht="23.25" customHeight="1">
      <c r="A33" s="27" t="s">
        <v>404</v>
      </c>
      <c r="B33" s="292" t="s">
        <v>427</v>
      </c>
      <c r="C33" s="303">
        <f>'[2] SC, DUY TU TRƯỜNG HỌC'!R19</f>
        <v>12570</v>
      </c>
      <c r="D33" s="409"/>
      <c r="E33" s="301"/>
    </row>
    <row r="34" spans="1:8" s="306" customFormat="1" ht="27" customHeight="1">
      <c r="A34" s="283">
        <v>2</v>
      </c>
      <c r="B34" s="299" t="s">
        <v>428</v>
      </c>
      <c r="C34" s="305">
        <f>C35+C36+C37</f>
        <v>14000</v>
      </c>
      <c r="D34" s="302" t="s">
        <v>407</v>
      </c>
      <c r="E34" s="308"/>
      <c r="F34" s="307"/>
      <c r="G34" s="307"/>
      <c r="H34" s="307"/>
    </row>
    <row r="35" spans="1:8" ht="23.25" customHeight="1">
      <c r="A35" s="27" t="s">
        <v>408</v>
      </c>
      <c r="B35" s="292" t="s">
        <v>429</v>
      </c>
      <c r="C35" s="303">
        <v>4000</v>
      </c>
      <c r="D35" s="286"/>
    </row>
    <row r="36" spans="1:8" ht="23.25" customHeight="1">
      <c r="A36" s="27" t="s">
        <v>413</v>
      </c>
      <c r="B36" s="292" t="s">
        <v>430</v>
      </c>
      <c r="C36" s="303">
        <v>5000</v>
      </c>
      <c r="D36" s="286"/>
    </row>
    <row r="37" spans="1:8" ht="23.25" customHeight="1">
      <c r="A37" s="27" t="s">
        <v>415</v>
      </c>
      <c r="B37" s="292" t="s">
        <v>431</v>
      </c>
      <c r="C37" s="303">
        <v>5000</v>
      </c>
      <c r="D37" s="286"/>
    </row>
    <row r="38" spans="1:8" s="290" customFormat="1" ht="23.25" customHeight="1">
      <c r="A38" s="283">
        <v>3</v>
      </c>
      <c r="B38" s="299" t="s">
        <v>432</v>
      </c>
      <c r="C38" s="305">
        <v>9000</v>
      </c>
      <c r="D38" s="286" t="s">
        <v>401</v>
      </c>
      <c r="F38" s="291"/>
      <c r="G38" s="291"/>
      <c r="H38" s="291"/>
    </row>
    <row r="39" spans="1:8" ht="23.25" customHeight="1">
      <c r="A39" s="283">
        <v>4</v>
      </c>
      <c r="B39" s="299" t="s">
        <v>433</v>
      </c>
      <c r="C39" s="305">
        <f>C40+C41+C42+C43</f>
        <v>7800</v>
      </c>
      <c r="D39" s="286" t="s">
        <v>401</v>
      </c>
    </row>
    <row r="40" spans="1:8" ht="23.25" customHeight="1">
      <c r="A40" s="27" t="s">
        <v>434</v>
      </c>
      <c r="B40" s="292" t="s">
        <v>435</v>
      </c>
      <c r="C40" s="303">
        <v>1500</v>
      </c>
      <c r="D40" s="286"/>
    </row>
    <row r="41" spans="1:8" ht="23.25" customHeight="1">
      <c r="A41" s="27" t="s">
        <v>436</v>
      </c>
      <c r="B41" s="292" t="s">
        <v>437</v>
      </c>
      <c r="C41" s="303">
        <v>2000</v>
      </c>
      <c r="D41" s="286"/>
    </row>
    <row r="42" spans="1:8" ht="25.15" customHeight="1">
      <c r="A42" s="27" t="s">
        <v>438</v>
      </c>
      <c r="B42" s="292" t="s">
        <v>439</v>
      </c>
      <c r="C42" s="303">
        <v>300</v>
      </c>
      <c r="D42" s="286"/>
    </row>
    <row r="43" spans="1:8" ht="61.5" customHeight="1">
      <c r="A43" s="27" t="s">
        <v>440</v>
      </c>
      <c r="B43" s="309" t="s">
        <v>441</v>
      </c>
      <c r="C43" s="303">
        <f>C44+C45+C46</f>
        <v>4000</v>
      </c>
      <c r="D43" s="286"/>
    </row>
    <row r="44" spans="1:8" ht="22.5" customHeight="1">
      <c r="A44" s="310"/>
      <c r="B44" s="309" t="s">
        <v>442</v>
      </c>
      <c r="C44" s="304">
        <v>1000</v>
      </c>
      <c r="D44" s="286"/>
    </row>
    <row r="45" spans="1:8" ht="22.5" customHeight="1">
      <c r="A45" s="310"/>
      <c r="B45" s="309" t="s">
        <v>443</v>
      </c>
      <c r="C45" s="304">
        <v>1500</v>
      </c>
      <c r="D45" s="286"/>
    </row>
    <row r="46" spans="1:8" ht="22.5" customHeight="1">
      <c r="A46" s="310"/>
      <c r="B46" s="309" t="s">
        <v>444</v>
      </c>
      <c r="C46" s="304">
        <v>1500</v>
      </c>
      <c r="D46" s="286"/>
    </row>
    <row r="47" spans="1:8" ht="22.5" customHeight="1">
      <c r="A47" s="283">
        <v>5</v>
      </c>
      <c r="B47" s="311" t="s">
        <v>380</v>
      </c>
      <c r="C47" s="305">
        <f>C48+C49+C50</f>
        <v>4589</v>
      </c>
      <c r="D47" s="286" t="s">
        <v>445</v>
      </c>
    </row>
    <row r="48" spans="1:8" ht="22.5" customHeight="1">
      <c r="A48" s="310"/>
      <c r="B48" s="309" t="s">
        <v>442</v>
      </c>
      <c r="C48" s="304">
        <v>1500</v>
      </c>
      <c r="D48" s="286"/>
    </row>
    <row r="49" spans="1:8" ht="22.5" customHeight="1">
      <c r="A49" s="310"/>
      <c r="B49" s="309" t="s">
        <v>443</v>
      </c>
      <c r="C49" s="304">
        <v>1589</v>
      </c>
      <c r="D49" s="289"/>
    </row>
    <row r="50" spans="1:8" ht="22.5" customHeight="1">
      <c r="A50" s="310"/>
      <c r="B50" s="309" t="s">
        <v>444</v>
      </c>
      <c r="C50" s="304">
        <v>1500</v>
      </c>
      <c r="D50" s="289"/>
    </row>
    <row r="51" spans="1:8" s="306" customFormat="1">
      <c r="B51" s="312"/>
      <c r="C51" s="313"/>
      <c r="D51" s="313"/>
      <c r="F51" s="307"/>
      <c r="G51" s="307"/>
      <c r="H51" s="307"/>
    </row>
    <row r="52" spans="1:8" s="306" customFormat="1">
      <c r="B52" s="312"/>
      <c r="C52" s="313"/>
      <c r="D52" s="313"/>
      <c r="F52" s="307"/>
      <c r="G52" s="307"/>
      <c r="H52" s="307"/>
    </row>
    <row r="53" spans="1:8" s="306" customFormat="1">
      <c r="B53" s="312"/>
      <c r="C53" s="313"/>
      <c r="D53" s="313"/>
      <c r="F53" s="307"/>
      <c r="G53" s="307"/>
      <c r="H53" s="307"/>
    </row>
    <row r="54" spans="1:8" ht="18">
      <c r="A54" s="276"/>
      <c r="B54" s="276"/>
      <c r="C54" s="314"/>
      <c r="D54" s="278"/>
    </row>
    <row r="55" spans="1:8" ht="18">
      <c r="A55" s="276"/>
      <c r="B55" s="276"/>
      <c r="C55" s="277"/>
      <c r="D55" s="278"/>
    </row>
    <row r="56" spans="1:8" ht="18">
      <c r="A56" s="276"/>
      <c r="B56" s="276"/>
      <c r="C56" s="277"/>
      <c r="D56" s="278"/>
    </row>
    <row r="57" spans="1:8" ht="18">
      <c r="A57" s="276"/>
      <c r="B57" s="276"/>
      <c r="C57" s="315"/>
      <c r="D57" s="278"/>
    </row>
    <row r="58" spans="1:8" ht="18">
      <c r="A58" s="276"/>
      <c r="B58" s="276"/>
      <c r="C58" s="315"/>
      <c r="D58" s="278"/>
    </row>
    <row r="59" spans="1:8" ht="18">
      <c r="A59" s="276"/>
      <c r="B59" s="276"/>
      <c r="C59" s="315"/>
      <c r="D59" s="278"/>
    </row>
    <row r="60" spans="1:8">
      <c r="C60" s="315"/>
      <c r="D60" s="278"/>
    </row>
    <row r="61" spans="1:8">
      <c r="C61" s="315"/>
      <c r="D61" s="278"/>
    </row>
    <row r="62" spans="1:8">
      <c r="C62" s="316"/>
    </row>
  </sheetData>
  <mergeCells count="4">
    <mergeCell ref="A3:D3"/>
    <mergeCell ref="A4:D4"/>
    <mergeCell ref="C5:D5"/>
    <mergeCell ref="D32:D33"/>
  </mergeCells>
  <pageMargins left="0.51181102362204722" right="0.31496062992125984" top="0.74803149606299213" bottom="0.74803149606299213" header="0.31496062992125984" footer="0.31496062992125984"/>
  <pageSetup paperSize="9" scale="98"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4BC64-6BD0-4F10-A33E-481676ACCCAD}">
  <sheetPr>
    <pageSetUpPr fitToPage="1"/>
  </sheetPr>
  <dimension ref="A1:Z34"/>
  <sheetViews>
    <sheetView topLeftCell="A2" workbookViewId="0">
      <selection activeCell="B12" sqref="B12"/>
    </sheetView>
  </sheetViews>
  <sheetFormatPr defaultRowHeight="15.5"/>
  <cols>
    <col min="1" max="1" width="6" style="320" customWidth="1"/>
    <col min="2" max="2" width="51.81640625" style="319" customWidth="1"/>
    <col min="3" max="3" width="20.26953125" style="320" customWidth="1"/>
    <col min="4" max="4" width="10.54296875" style="319" customWidth="1"/>
    <col min="5" max="5" width="11.26953125" style="319" hidden="1" customWidth="1"/>
    <col min="6" max="6" width="10.54296875" style="319" hidden="1" customWidth="1"/>
    <col min="7" max="7" width="12.7265625" style="319" hidden="1" customWidth="1"/>
    <col min="8" max="10" width="15.1796875" style="319" hidden="1" customWidth="1"/>
    <col min="11" max="11" width="0.54296875" style="319" hidden="1" customWidth="1"/>
    <col min="12" max="12" width="19.26953125" style="319" customWidth="1"/>
    <col min="13" max="13" width="13.453125" style="319" hidden="1" customWidth="1"/>
    <col min="14" max="14" width="11.81640625" style="319" hidden="1" customWidth="1"/>
    <col min="15" max="15" width="13" style="319" hidden="1" customWidth="1"/>
    <col min="16" max="16" width="3.7265625" style="319" hidden="1" customWidth="1"/>
    <col min="17" max="17" width="18.1796875" style="319" customWidth="1"/>
    <col min="18" max="18" width="12.54296875" style="359" customWidth="1"/>
    <col min="19" max="19" width="13.81640625" style="319" hidden="1" customWidth="1"/>
    <col min="20" max="20" width="23.26953125" style="319" hidden="1" customWidth="1"/>
    <col min="21" max="21" width="0" style="319" hidden="1" customWidth="1"/>
    <col min="22" max="22" width="21.7265625" style="319" hidden="1" customWidth="1"/>
    <col min="23" max="23" width="0" style="319" hidden="1" customWidth="1"/>
    <col min="24" max="24" width="10.26953125" style="319" hidden="1" customWidth="1"/>
    <col min="25" max="33" width="0" style="319" hidden="1" customWidth="1"/>
    <col min="34" max="256" width="9.1796875" style="319"/>
    <col min="257" max="257" width="6" style="319" customWidth="1"/>
    <col min="258" max="258" width="51.81640625" style="319" customWidth="1"/>
    <col min="259" max="259" width="20.26953125" style="319" customWidth="1"/>
    <col min="260" max="260" width="13.453125" style="319" customWidth="1"/>
    <col min="261" max="267" width="0" style="319" hidden="1" customWidth="1"/>
    <col min="268" max="268" width="14.453125" style="319" customWidth="1"/>
    <col min="269" max="272" width="0" style="319" hidden="1" customWidth="1"/>
    <col min="273" max="273" width="15" style="319" customWidth="1"/>
    <col min="274" max="274" width="15.81640625" style="319" customWidth="1"/>
    <col min="275" max="276" width="0" style="319" hidden="1" customWidth="1"/>
    <col min="277" max="277" width="9.1796875" style="319"/>
    <col min="278" max="279" width="0" style="319" hidden="1" customWidth="1"/>
    <col min="280" max="280" width="10.26953125" style="319" customWidth="1"/>
    <col min="281" max="512" width="9.1796875" style="319"/>
    <col min="513" max="513" width="6" style="319" customWidth="1"/>
    <col min="514" max="514" width="51.81640625" style="319" customWidth="1"/>
    <col min="515" max="515" width="20.26953125" style="319" customWidth="1"/>
    <col min="516" max="516" width="13.453125" style="319" customWidth="1"/>
    <col min="517" max="523" width="0" style="319" hidden="1" customWidth="1"/>
    <col min="524" max="524" width="14.453125" style="319" customWidth="1"/>
    <col min="525" max="528" width="0" style="319" hidden="1" customWidth="1"/>
    <col min="529" max="529" width="15" style="319" customWidth="1"/>
    <col min="530" max="530" width="15.81640625" style="319" customWidth="1"/>
    <col min="531" max="532" width="0" style="319" hidden="1" customWidth="1"/>
    <col min="533" max="533" width="9.1796875" style="319"/>
    <col min="534" max="535" width="0" style="319" hidden="1" customWidth="1"/>
    <col min="536" max="536" width="10.26953125" style="319" customWidth="1"/>
    <col min="537" max="768" width="9.1796875" style="319"/>
    <col min="769" max="769" width="6" style="319" customWidth="1"/>
    <col min="770" max="770" width="51.81640625" style="319" customWidth="1"/>
    <col min="771" max="771" width="20.26953125" style="319" customWidth="1"/>
    <col min="772" max="772" width="13.453125" style="319" customWidth="1"/>
    <col min="773" max="779" width="0" style="319" hidden="1" customWidth="1"/>
    <col min="780" max="780" width="14.453125" style="319" customWidth="1"/>
    <col min="781" max="784" width="0" style="319" hidden="1" customWidth="1"/>
    <col min="785" max="785" width="15" style="319" customWidth="1"/>
    <col min="786" max="786" width="15.81640625" style="319" customWidth="1"/>
    <col min="787" max="788" width="0" style="319" hidden="1" customWidth="1"/>
    <col min="789" max="789" width="9.1796875" style="319"/>
    <col min="790" max="791" width="0" style="319" hidden="1" customWidth="1"/>
    <col min="792" max="792" width="10.26953125" style="319" customWidth="1"/>
    <col min="793" max="1024" width="9.1796875" style="319"/>
    <col min="1025" max="1025" width="6" style="319" customWidth="1"/>
    <col min="1026" max="1026" width="51.81640625" style="319" customWidth="1"/>
    <col min="1027" max="1027" width="20.26953125" style="319" customWidth="1"/>
    <col min="1028" max="1028" width="13.453125" style="319" customWidth="1"/>
    <col min="1029" max="1035" width="0" style="319" hidden="1" customWidth="1"/>
    <col min="1036" max="1036" width="14.453125" style="319" customWidth="1"/>
    <col min="1037" max="1040" width="0" style="319" hidden="1" customWidth="1"/>
    <col min="1041" max="1041" width="15" style="319" customWidth="1"/>
    <col min="1042" max="1042" width="15.81640625" style="319" customWidth="1"/>
    <col min="1043" max="1044" width="0" style="319" hidden="1" customWidth="1"/>
    <col min="1045" max="1045" width="9.1796875" style="319"/>
    <col min="1046" max="1047" width="0" style="319" hidden="1" customWidth="1"/>
    <col min="1048" max="1048" width="10.26953125" style="319" customWidth="1"/>
    <col min="1049" max="1280" width="9.1796875" style="319"/>
    <col min="1281" max="1281" width="6" style="319" customWidth="1"/>
    <col min="1282" max="1282" width="51.81640625" style="319" customWidth="1"/>
    <col min="1283" max="1283" width="20.26953125" style="319" customWidth="1"/>
    <col min="1284" max="1284" width="13.453125" style="319" customWidth="1"/>
    <col min="1285" max="1291" width="0" style="319" hidden="1" customWidth="1"/>
    <col min="1292" max="1292" width="14.453125" style="319" customWidth="1"/>
    <col min="1293" max="1296" width="0" style="319" hidden="1" customWidth="1"/>
    <col min="1297" max="1297" width="15" style="319" customWidth="1"/>
    <col min="1298" max="1298" width="15.81640625" style="319" customWidth="1"/>
    <col min="1299" max="1300" width="0" style="319" hidden="1" customWidth="1"/>
    <col min="1301" max="1301" width="9.1796875" style="319"/>
    <col min="1302" max="1303" width="0" style="319" hidden="1" customWidth="1"/>
    <col min="1304" max="1304" width="10.26953125" style="319" customWidth="1"/>
    <col min="1305" max="1536" width="9.1796875" style="319"/>
    <col min="1537" max="1537" width="6" style="319" customWidth="1"/>
    <col min="1538" max="1538" width="51.81640625" style="319" customWidth="1"/>
    <col min="1539" max="1539" width="20.26953125" style="319" customWidth="1"/>
    <col min="1540" max="1540" width="13.453125" style="319" customWidth="1"/>
    <col min="1541" max="1547" width="0" style="319" hidden="1" customWidth="1"/>
    <col min="1548" max="1548" width="14.453125" style="319" customWidth="1"/>
    <col min="1549" max="1552" width="0" style="319" hidden="1" customWidth="1"/>
    <col min="1553" max="1553" width="15" style="319" customWidth="1"/>
    <col min="1554" max="1554" width="15.81640625" style="319" customWidth="1"/>
    <col min="1555" max="1556" width="0" style="319" hidden="1" customWidth="1"/>
    <col min="1557" max="1557" width="9.1796875" style="319"/>
    <col min="1558" max="1559" width="0" style="319" hidden="1" customWidth="1"/>
    <col min="1560" max="1560" width="10.26953125" style="319" customWidth="1"/>
    <col min="1561" max="1792" width="9.1796875" style="319"/>
    <col min="1793" max="1793" width="6" style="319" customWidth="1"/>
    <col min="1794" max="1794" width="51.81640625" style="319" customWidth="1"/>
    <col min="1795" max="1795" width="20.26953125" style="319" customWidth="1"/>
    <col min="1796" max="1796" width="13.453125" style="319" customWidth="1"/>
    <col min="1797" max="1803" width="0" style="319" hidden="1" customWidth="1"/>
    <col min="1804" max="1804" width="14.453125" style="319" customWidth="1"/>
    <col min="1805" max="1808" width="0" style="319" hidden="1" customWidth="1"/>
    <col min="1809" max="1809" width="15" style="319" customWidth="1"/>
    <col min="1810" max="1810" width="15.81640625" style="319" customWidth="1"/>
    <col min="1811" max="1812" width="0" style="319" hidden="1" customWidth="1"/>
    <col min="1813" max="1813" width="9.1796875" style="319"/>
    <col min="1814" max="1815" width="0" style="319" hidden="1" customWidth="1"/>
    <col min="1816" max="1816" width="10.26953125" style="319" customWidth="1"/>
    <col min="1817" max="2048" width="9.1796875" style="319"/>
    <col min="2049" max="2049" width="6" style="319" customWidth="1"/>
    <col min="2050" max="2050" width="51.81640625" style="319" customWidth="1"/>
    <col min="2051" max="2051" width="20.26953125" style="319" customWidth="1"/>
    <col min="2052" max="2052" width="13.453125" style="319" customWidth="1"/>
    <col min="2053" max="2059" width="0" style="319" hidden="1" customWidth="1"/>
    <col min="2060" max="2060" width="14.453125" style="319" customWidth="1"/>
    <col min="2061" max="2064" width="0" style="319" hidden="1" customWidth="1"/>
    <col min="2065" max="2065" width="15" style="319" customWidth="1"/>
    <col min="2066" max="2066" width="15.81640625" style="319" customWidth="1"/>
    <col min="2067" max="2068" width="0" style="319" hidden="1" customWidth="1"/>
    <col min="2069" max="2069" width="9.1796875" style="319"/>
    <col min="2070" max="2071" width="0" style="319" hidden="1" customWidth="1"/>
    <col min="2072" max="2072" width="10.26953125" style="319" customWidth="1"/>
    <col min="2073" max="2304" width="9.1796875" style="319"/>
    <col min="2305" max="2305" width="6" style="319" customWidth="1"/>
    <col min="2306" max="2306" width="51.81640625" style="319" customWidth="1"/>
    <col min="2307" max="2307" width="20.26953125" style="319" customWidth="1"/>
    <col min="2308" max="2308" width="13.453125" style="319" customWidth="1"/>
    <col min="2309" max="2315" width="0" style="319" hidden="1" customWidth="1"/>
    <col min="2316" max="2316" width="14.453125" style="319" customWidth="1"/>
    <col min="2317" max="2320" width="0" style="319" hidden="1" customWidth="1"/>
    <col min="2321" max="2321" width="15" style="319" customWidth="1"/>
    <col min="2322" max="2322" width="15.81640625" style="319" customWidth="1"/>
    <col min="2323" max="2324" width="0" style="319" hidden="1" customWidth="1"/>
    <col min="2325" max="2325" width="9.1796875" style="319"/>
    <col min="2326" max="2327" width="0" style="319" hidden="1" customWidth="1"/>
    <col min="2328" max="2328" width="10.26953125" style="319" customWidth="1"/>
    <col min="2329" max="2560" width="9.1796875" style="319"/>
    <col min="2561" max="2561" width="6" style="319" customWidth="1"/>
    <col min="2562" max="2562" width="51.81640625" style="319" customWidth="1"/>
    <col min="2563" max="2563" width="20.26953125" style="319" customWidth="1"/>
    <col min="2564" max="2564" width="13.453125" style="319" customWidth="1"/>
    <col min="2565" max="2571" width="0" style="319" hidden="1" customWidth="1"/>
    <col min="2572" max="2572" width="14.453125" style="319" customWidth="1"/>
    <col min="2573" max="2576" width="0" style="319" hidden="1" customWidth="1"/>
    <col min="2577" max="2577" width="15" style="319" customWidth="1"/>
    <col min="2578" max="2578" width="15.81640625" style="319" customWidth="1"/>
    <col min="2579" max="2580" width="0" style="319" hidden="1" customWidth="1"/>
    <col min="2581" max="2581" width="9.1796875" style="319"/>
    <col min="2582" max="2583" width="0" style="319" hidden="1" customWidth="1"/>
    <col min="2584" max="2584" width="10.26953125" style="319" customWidth="1"/>
    <col min="2585" max="2816" width="9.1796875" style="319"/>
    <col min="2817" max="2817" width="6" style="319" customWidth="1"/>
    <col min="2818" max="2818" width="51.81640625" style="319" customWidth="1"/>
    <col min="2819" max="2819" width="20.26953125" style="319" customWidth="1"/>
    <col min="2820" max="2820" width="13.453125" style="319" customWidth="1"/>
    <col min="2821" max="2827" width="0" style="319" hidden="1" customWidth="1"/>
    <col min="2828" max="2828" width="14.453125" style="319" customWidth="1"/>
    <col min="2829" max="2832" width="0" style="319" hidden="1" customWidth="1"/>
    <col min="2833" max="2833" width="15" style="319" customWidth="1"/>
    <col min="2834" max="2834" width="15.81640625" style="319" customWidth="1"/>
    <col min="2835" max="2836" width="0" style="319" hidden="1" customWidth="1"/>
    <col min="2837" max="2837" width="9.1796875" style="319"/>
    <col min="2838" max="2839" width="0" style="319" hidden="1" customWidth="1"/>
    <col min="2840" max="2840" width="10.26953125" style="319" customWidth="1"/>
    <col min="2841" max="3072" width="9.1796875" style="319"/>
    <col min="3073" max="3073" width="6" style="319" customWidth="1"/>
    <col min="3074" max="3074" width="51.81640625" style="319" customWidth="1"/>
    <col min="3075" max="3075" width="20.26953125" style="319" customWidth="1"/>
    <col min="3076" max="3076" width="13.453125" style="319" customWidth="1"/>
    <col min="3077" max="3083" width="0" style="319" hidden="1" customWidth="1"/>
    <col min="3084" max="3084" width="14.453125" style="319" customWidth="1"/>
    <col min="3085" max="3088" width="0" style="319" hidden="1" customWidth="1"/>
    <col min="3089" max="3089" width="15" style="319" customWidth="1"/>
    <col min="3090" max="3090" width="15.81640625" style="319" customWidth="1"/>
    <col min="3091" max="3092" width="0" style="319" hidden="1" customWidth="1"/>
    <col min="3093" max="3093" width="9.1796875" style="319"/>
    <col min="3094" max="3095" width="0" style="319" hidden="1" customWidth="1"/>
    <col min="3096" max="3096" width="10.26953125" style="319" customWidth="1"/>
    <col min="3097" max="3328" width="9.1796875" style="319"/>
    <col min="3329" max="3329" width="6" style="319" customWidth="1"/>
    <col min="3330" max="3330" width="51.81640625" style="319" customWidth="1"/>
    <col min="3331" max="3331" width="20.26953125" style="319" customWidth="1"/>
    <col min="3332" max="3332" width="13.453125" style="319" customWidth="1"/>
    <col min="3333" max="3339" width="0" style="319" hidden="1" customWidth="1"/>
    <col min="3340" max="3340" width="14.453125" style="319" customWidth="1"/>
    <col min="3341" max="3344" width="0" style="319" hidden="1" customWidth="1"/>
    <col min="3345" max="3345" width="15" style="319" customWidth="1"/>
    <col min="3346" max="3346" width="15.81640625" style="319" customWidth="1"/>
    <col min="3347" max="3348" width="0" style="319" hidden="1" customWidth="1"/>
    <col min="3349" max="3349" width="9.1796875" style="319"/>
    <col min="3350" max="3351" width="0" style="319" hidden="1" customWidth="1"/>
    <col min="3352" max="3352" width="10.26953125" style="319" customWidth="1"/>
    <col min="3353" max="3584" width="9.1796875" style="319"/>
    <col min="3585" max="3585" width="6" style="319" customWidth="1"/>
    <col min="3586" max="3586" width="51.81640625" style="319" customWidth="1"/>
    <col min="3587" max="3587" width="20.26953125" style="319" customWidth="1"/>
    <col min="3588" max="3588" width="13.453125" style="319" customWidth="1"/>
    <col min="3589" max="3595" width="0" style="319" hidden="1" customWidth="1"/>
    <col min="3596" max="3596" width="14.453125" style="319" customWidth="1"/>
    <col min="3597" max="3600" width="0" style="319" hidden="1" customWidth="1"/>
    <col min="3601" max="3601" width="15" style="319" customWidth="1"/>
    <col min="3602" max="3602" width="15.81640625" style="319" customWidth="1"/>
    <col min="3603" max="3604" width="0" style="319" hidden="1" customWidth="1"/>
    <col min="3605" max="3605" width="9.1796875" style="319"/>
    <col min="3606" max="3607" width="0" style="319" hidden="1" customWidth="1"/>
    <col min="3608" max="3608" width="10.26953125" style="319" customWidth="1"/>
    <col min="3609" max="3840" width="9.1796875" style="319"/>
    <col min="3841" max="3841" width="6" style="319" customWidth="1"/>
    <col min="3842" max="3842" width="51.81640625" style="319" customWidth="1"/>
    <col min="3843" max="3843" width="20.26953125" style="319" customWidth="1"/>
    <col min="3844" max="3844" width="13.453125" style="319" customWidth="1"/>
    <col min="3845" max="3851" width="0" style="319" hidden="1" customWidth="1"/>
    <col min="3852" max="3852" width="14.453125" style="319" customWidth="1"/>
    <col min="3853" max="3856" width="0" style="319" hidden="1" customWidth="1"/>
    <col min="3857" max="3857" width="15" style="319" customWidth="1"/>
    <col min="3858" max="3858" width="15.81640625" style="319" customWidth="1"/>
    <col min="3859" max="3860" width="0" style="319" hidden="1" customWidth="1"/>
    <col min="3861" max="3861" width="9.1796875" style="319"/>
    <col min="3862" max="3863" width="0" style="319" hidden="1" customWidth="1"/>
    <col min="3864" max="3864" width="10.26953125" style="319" customWidth="1"/>
    <col min="3865" max="4096" width="9.1796875" style="319"/>
    <col min="4097" max="4097" width="6" style="319" customWidth="1"/>
    <col min="4098" max="4098" width="51.81640625" style="319" customWidth="1"/>
    <col min="4099" max="4099" width="20.26953125" style="319" customWidth="1"/>
    <col min="4100" max="4100" width="13.453125" style="319" customWidth="1"/>
    <col min="4101" max="4107" width="0" style="319" hidden="1" customWidth="1"/>
    <col min="4108" max="4108" width="14.453125" style="319" customWidth="1"/>
    <col min="4109" max="4112" width="0" style="319" hidden="1" customWidth="1"/>
    <col min="4113" max="4113" width="15" style="319" customWidth="1"/>
    <col min="4114" max="4114" width="15.81640625" style="319" customWidth="1"/>
    <col min="4115" max="4116" width="0" style="319" hidden="1" customWidth="1"/>
    <col min="4117" max="4117" width="9.1796875" style="319"/>
    <col min="4118" max="4119" width="0" style="319" hidden="1" customWidth="1"/>
    <col min="4120" max="4120" width="10.26953125" style="319" customWidth="1"/>
    <col min="4121" max="4352" width="9.1796875" style="319"/>
    <col min="4353" max="4353" width="6" style="319" customWidth="1"/>
    <col min="4354" max="4354" width="51.81640625" style="319" customWidth="1"/>
    <col min="4355" max="4355" width="20.26953125" style="319" customWidth="1"/>
    <col min="4356" max="4356" width="13.453125" style="319" customWidth="1"/>
    <col min="4357" max="4363" width="0" style="319" hidden="1" customWidth="1"/>
    <col min="4364" max="4364" width="14.453125" style="319" customWidth="1"/>
    <col min="4365" max="4368" width="0" style="319" hidden="1" customWidth="1"/>
    <col min="4369" max="4369" width="15" style="319" customWidth="1"/>
    <col min="4370" max="4370" width="15.81640625" style="319" customWidth="1"/>
    <col min="4371" max="4372" width="0" style="319" hidden="1" customWidth="1"/>
    <col min="4373" max="4373" width="9.1796875" style="319"/>
    <col min="4374" max="4375" width="0" style="319" hidden="1" customWidth="1"/>
    <col min="4376" max="4376" width="10.26953125" style="319" customWidth="1"/>
    <col min="4377" max="4608" width="9.1796875" style="319"/>
    <col min="4609" max="4609" width="6" style="319" customWidth="1"/>
    <col min="4610" max="4610" width="51.81640625" style="319" customWidth="1"/>
    <col min="4611" max="4611" width="20.26953125" style="319" customWidth="1"/>
    <col min="4612" max="4612" width="13.453125" style="319" customWidth="1"/>
    <col min="4613" max="4619" width="0" style="319" hidden="1" customWidth="1"/>
    <col min="4620" max="4620" width="14.453125" style="319" customWidth="1"/>
    <col min="4621" max="4624" width="0" style="319" hidden="1" customWidth="1"/>
    <col min="4625" max="4625" width="15" style="319" customWidth="1"/>
    <col min="4626" max="4626" width="15.81640625" style="319" customWidth="1"/>
    <col min="4627" max="4628" width="0" style="319" hidden="1" customWidth="1"/>
    <col min="4629" max="4629" width="9.1796875" style="319"/>
    <col min="4630" max="4631" width="0" style="319" hidden="1" customWidth="1"/>
    <col min="4632" max="4632" width="10.26953125" style="319" customWidth="1"/>
    <col min="4633" max="4864" width="9.1796875" style="319"/>
    <col min="4865" max="4865" width="6" style="319" customWidth="1"/>
    <col min="4866" max="4866" width="51.81640625" style="319" customWidth="1"/>
    <col min="4867" max="4867" width="20.26953125" style="319" customWidth="1"/>
    <col min="4868" max="4868" width="13.453125" style="319" customWidth="1"/>
    <col min="4869" max="4875" width="0" style="319" hidden="1" customWidth="1"/>
    <col min="4876" max="4876" width="14.453125" style="319" customWidth="1"/>
    <col min="4877" max="4880" width="0" style="319" hidden="1" customWidth="1"/>
    <col min="4881" max="4881" width="15" style="319" customWidth="1"/>
    <col min="4882" max="4882" width="15.81640625" style="319" customWidth="1"/>
    <col min="4883" max="4884" width="0" style="319" hidden="1" customWidth="1"/>
    <col min="4885" max="4885" width="9.1796875" style="319"/>
    <col min="4886" max="4887" width="0" style="319" hidden="1" customWidth="1"/>
    <col min="4888" max="4888" width="10.26953125" style="319" customWidth="1"/>
    <col min="4889" max="5120" width="9.1796875" style="319"/>
    <col min="5121" max="5121" width="6" style="319" customWidth="1"/>
    <col min="5122" max="5122" width="51.81640625" style="319" customWidth="1"/>
    <col min="5123" max="5123" width="20.26953125" style="319" customWidth="1"/>
    <col min="5124" max="5124" width="13.453125" style="319" customWidth="1"/>
    <col min="5125" max="5131" width="0" style="319" hidden="1" customWidth="1"/>
    <col min="5132" max="5132" width="14.453125" style="319" customWidth="1"/>
    <col min="5133" max="5136" width="0" style="319" hidden="1" customWidth="1"/>
    <col min="5137" max="5137" width="15" style="319" customWidth="1"/>
    <col min="5138" max="5138" width="15.81640625" style="319" customWidth="1"/>
    <col min="5139" max="5140" width="0" style="319" hidden="1" customWidth="1"/>
    <col min="5141" max="5141" width="9.1796875" style="319"/>
    <col min="5142" max="5143" width="0" style="319" hidden="1" customWidth="1"/>
    <col min="5144" max="5144" width="10.26953125" style="319" customWidth="1"/>
    <col min="5145" max="5376" width="9.1796875" style="319"/>
    <col min="5377" max="5377" width="6" style="319" customWidth="1"/>
    <col min="5378" max="5378" width="51.81640625" style="319" customWidth="1"/>
    <col min="5379" max="5379" width="20.26953125" style="319" customWidth="1"/>
    <col min="5380" max="5380" width="13.453125" style="319" customWidth="1"/>
    <col min="5381" max="5387" width="0" style="319" hidden="1" customWidth="1"/>
    <col min="5388" max="5388" width="14.453125" style="319" customWidth="1"/>
    <col min="5389" max="5392" width="0" style="319" hidden="1" customWidth="1"/>
    <col min="5393" max="5393" width="15" style="319" customWidth="1"/>
    <col min="5394" max="5394" width="15.81640625" style="319" customWidth="1"/>
    <col min="5395" max="5396" width="0" style="319" hidden="1" customWidth="1"/>
    <col min="5397" max="5397" width="9.1796875" style="319"/>
    <col min="5398" max="5399" width="0" style="319" hidden="1" customWidth="1"/>
    <col min="5400" max="5400" width="10.26953125" style="319" customWidth="1"/>
    <col min="5401" max="5632" width="9.1796875" style="319"/>
    <col min="5633" max="5633" width="6" style="319" customWidth="1"/>
    <col min="5634" max="5634" width="51.81640625" style="319" customWidth="1"/>
    <col min="5635" max="5635" width="20.26953125" style="319" customWidth="1"/>
    <col min="5636" max="5636" width="13.453125" style="319" customWidth="1"/>
    <col min="5637" max="5643" width="0" style="319" hidden="1" customWidth="1"/>
    <col min="5644" max="5644" width="14.453125" style="319" customWidth="1"/>
    <col min="5645" max="5648" width="0" style="319" hidden="1" customWidth="1"/>
    <col min="5649" max="5649" width="15" style="319" customWidth="1"/>
    <col min="5650" max="5650" width="15.81640625" style="319" customWidth="1"/>
    <col min="5651" max="5652" width="0" style="319" hidden="1" customWidth="1"/>
    <col min="5653" max="5653" width="9.1796875" style="319"/>
    <col min="5654" max="5655" width="0" style="319" hidden="1" customWidth="1"/>
    <col min="5656" max="5656" width="10.26953125" style="319" customWidth="1"/>
    <col min="5657" max="5888" width="9.1796875" style="319"/>
    <col min="5889" max="5889" width="6" style="319" customWidth="1"/>
    <col min="5890" max="5890" width="51.81640625" style="319" customWidth="1"/>
    <col min="5891" max="5891" width="20.26953125" style="319" customWidth="1"/>
    <col min="5892" max="5892" width="13.453125" style="319" customWidth="1"/>
    <col min="5893" max="5899" width="0" style="319" hidden="1" customWidth="1"/>
    <col min="5900" max="5900" width="14.453125" style="319" customWidth="1"/>
    <col min="5901" max="5904" width="0" style="319" hidden="1" customWidth="1"/>
    <col min="5905" max="5905" width="15" style="319" customWidth="1"/>
    <col min="5906" max="5906" width="15.81640625" style="319" customWidth="1"/>
    <col min="5907" max="5908" width="0" style="319" hidden="1" customWidth="1"/>
    <col min="5909" max="5909" width="9.1796875" style="319"/>
    <col min="5910" max="5911" width="0" style="319" hidden="1" customWidth="1"/>
    <col min="5912" max="5912" width="10.26953125" style="319" customWidth="1"/>
    <col min="5913" max="6144" width="9.1796875" style="319"/>
    <col min="6145" max="6145" width="6" style="319" customWidth="1"/>
    <col min="6146" max="6146" width="51.81640625" style="319" customWidth="1"/>
    <col min="6147" max="6147" width="20.26953125" style="319" customWidth="1"/>
    <col min="6148" max="6148" width="13.453125" style="319" customWidth="1"/>
    <col min="6149" max="6155" width="0" style="319" hidden="1" customWidth="1"/>
    <col min="6156" max="6156" width="14.453125" style="319" customWidth="1"/>
    <col min="6157" max="6160" width="0" style="319" hidden="1" customWidth="1"/>
    <col min="6161" max="6161" width="15" style="319" customWidth="1"/>
    <col min="6162" max="6162" width="15.81640625" style="319" customWidth="1"/>
    <col min="6163" max="6164" width="0" style="319" hidden="1" customWidth="1"/>
    <col min="6165" max="6165" width="9.1796875" style="319"/>
    <col min="6166" max="6167" width="0" style="319" hidden="1" customWidth="1"/>
    <col min="6168" max="6168" width="10.26953125" style="319" customWidth="1"/>
    <col min="6169" max="6400" width="9.1796875" style="319"/>
    <col min="6401" max="6401" width="6" style="319" customWidth="1"/>
    <col min="6402" max="6402" width="51.81640625" style="319" customWidth="1"/>
    <col min="6403" max="6403" width="20.26953125" style="319" customWidth="1"/>
    <col min="6404" max="6404" width="13.453125" style="319" customWidth="1"/>
    <col min="6405" max="6411" width="0" style="319" hidden="1" customWidth="1"/>
    <col min="6412" max="6412" width="14.453125" style="319" customWidth="1"/>
    <col min="6413" max="6416" width="0" style="319" hidden="1" customWidth="1"/>
    <col min="6417" max="6417" width="15" style="319" customWidth="1"/>
    <col min="6418" max="6418" width="15.81640625" style="319" customWidth="1"/>
    <col min="6419" max="6420" width="0" style="319" hidden="1" customWidth="1"/>
    <col min="6421" max="6421" width="9.1796875" style="319"/>
    <col min="6422" max="6423" width="0" style="319" hidden="1" customWidth="1"/>
    <col min="6424" max="6424" width="10.26953125" style="319" customWidth="1"/>
    <col min="6425" max="6656" width="9.1796875" style="319"/>
    <col min="6657" max="6657" width="6" style="319" customWidth="1"/>
    <col min="6658" max="6658" width="51.81640625" style="319" customWidth="1"/>
    <col min="6659" max="6659" width="20.26953125" style="319" customWidth="1"/>
    <col min="6660" max="6660" width="13.453125" style="319" customWidth="1"/>
    <col min="6661" max="6667" width="0" style="319" hidden="1" customWidth="1"/>
    <col min="6668" max="6668" width="14.453125" style="319" customWidth="1"/>
    <col min="6669" max="6672" width="0" style="319" hidden="1" customWidth="1"/>
    <col min="6673" max="6673" width="15" style="319" customWidth="1"/>
    <col min="6674" max="6674" width="15.81640625" style="319" customWidth="1"/>
    <col min="6675" max="6676" width="0" style="319" hidden="1" customWidth="1"/>
    <col min="6677" max="6677" width="9.1796875" style="319"/>
    <col min="6678" max="6679" width="0" style="319" hidden="1" customWidth="1"/>
    <col min="6680" max="6680" width="10.26953125" style="319" customWidth="1"/>
    <col min="6681" max="6912" width="9.1796875" style="319"/>
    <col min="6913" max="6913" width="6" style="319" customWidth="1"/>
    <col min="6914" max="6914" width="51.81640625" style="319" customWidth="1"/>
    <col min="6915" max="6915" width="20.26953125" style="319" customWidth="1"/>
    <col min="6916" max="6916" width="13.453125" style="319" customWidth="1"/>
    <col min="6917" max="6923" width="0" style="319" hidden="1" customWidth="1"/>
    <col min="6924" max="6924" width="14.453125" style="319" customWidth="1"/>
    <col min="6925" max="6928" width="0" style="319" hidden="1" customWidth="1"/>
    <col min="6929" max="6929" width="15" style="319" customWidth="1"/>
    <col min="6930" max="6930" width="15.81640625" style="319" customWidth="1"/>
    <col min="6931" max="6932" width="0" style="319" hidden="1" customWidth="1"/>
    <col min="6933" max="6933" width="9.1796875" style="319"/>
    <col min="6934" max="6935" width="0" style="319" hidden="1" customWidth="1"/>
    <col min="6936" max="6936" width="10.26953125" style="319" customWidth="1"/>
    <col min="6937" max="7168" width="9.1796875" style="319"/>
    <col min="7169" max="7169" width="6" style="319" customWidth="1"/>
    <col min="7170" max="7170" width="51.81640625" style="319" customWidth="1"/>
    <col min="7171" max="7171" width="20.26953125" style="319" customWidth="1"/>
    <col min="7172" max="7172" width="13.453125" style="319" customWidth="1"/>
    <col min="7173" max="7179" width="0" style="319" hidden="1" customWidth="1"/>
    <col min="7180" max="7180" width="14.453125" style="319" customWidth="1"/>
    <col min="7181" max="7184" width="0" style="319" hidden="1" customWidth="1"/>
    <col min="7185" max="7185" width="15" style="319" customWidth="1"/>
    <col min="7186" max="7186" width="15.81640625" style="319" customWidth="1"/>
    <col min="7187" max="7188" width="0" style="319" hidden="1" customWidth="1"/>
    <col min="7189" max="7189" width="9.1796875" style="319"/>
    <col min="7190" max="7191" width="0" style="319" hidden="1" customWidth="1"/>
    <col min="7192" max="7192" width="10.26953125" style="319" customWidth="1"/>
    <col min="7193" max="7424" width="9.1796875" style="319"/>
    <col min="7425" max="7425" width="6" style="319" customWidth="1"/>
    <col min="7426" max="7426" width="51.81640625" style="319" customWidth="1"/>
    <col min="7427" max="7427" width="20.26953125" style="319" customWidth="1"/>
    <col min="7428" max="7428" width="13.453125" style="319" customWidth="1"/>
    <col min="7429" max="7435" width="0" style="319" hidden="1" customWidth="1"/>
    <col min="7436" max="7436" width="14.453125" style="319" customWidth="1"/>
    <col min="7437" max="7440" width="0" style="319" hidden="1" customWidth="1"/>
    <col min="7441" max="7441" width="15" style="319" customWidth="1"/>
    <col min="7442" max="7442" width="15.81640625" style="319" customWidth="1"/>
    <col min="7443" max="7444" width="0" style="319" hidden="1" customWidth="1"/>
    <col min="7445" max="7445" width="9.1796875" style="319"/>
    <col min="7446" max="7447" width="0" style="319" hidden="1" customWidth="1"/>
    <col min="7448" max="7448" width="10.26953125" style="319" customWidth="1"/>
    <col min="7449" max="7680" width="9.1796875" style="319"/>
    <col min="7681" max="7681" width="6" style="319" customWidth="1"/>
    <col min="7682" max="7682" width="51.81640625" style="319" customWidth="1"/>
    <col min="7683" max="7683" width="20.26953125" style="319" customWidth="1"/>
    <col min="7684" max="7684" width="13.453125" style="319" customWidth="1"/>
    <col min="7685" max="7691" width="0" style="319" hidden="1" customWidth="1"/>
    <col min="7692" max="7692" width="14.453125" style="319" customWidth="1"/>
    <col min="7693" max="7696" width="0" style="319" hidden="1" customWidth="1"/>
    <col min="7697" max="7697" width="15" style="319" customWidth="1"/>
    <col min="7698" max="7698" width="15.81640625" style="319" customWidth="1"/>
    <col min="7699" max="7700" width="0" style="319" hidden="1" customWidth="1"/>
    <col min="7701" max="7701" width="9.1796875" style="319"/>
    <col min="7702" max="7703" width="0" style="319" hidden="1" customWidth="1"/>
    <col min="7704" max="7704" width="10.26953125" style="319" customWidth="1"/>
    <col min="7705" max="7936" width="9.1796875" style="319"/>
    <col min="7937" max="7937" width="6" style="319" customWidth="1"/>
    <col min="7938" max="7938" width="51.81640625" style="319" customWidth="1"/>
    <col min="7939" max="7939" width="20.26953125" style="319" customWidth="1"/>
    <col min="7940" max="7940" width="13.453125" style="319" customWidth="1"/>
    <col min="7941" max="7947" width="0" style="319" hidden="1" customWidth="1"/>
    <col min="7948" max="7948" width="14.453125" style="319" customWidth="1"/>
    <col min="7949" max="7952" width="0" style="319" hidden="1" customWidth="1"/>
    <col min="7953" max="7953" width="15" style="319" customWidth="1"/>
    <col min="7954" max="7954" width="15.81640625" style="319" customWidth="1"/>
    <col min="7955" max="7956" width="0" style="319" hidden="1" customWidth="1"/>
    <col min="7957" max="7957" width="9.1796875" style="319"/>
    <col min="7958" max="7959" width="0" style="319" hidden="1" customWidth="1"/>
    <col min="7960" max="7960" width="10.26953125" style="319" customWidth="1"/>
    <col min="7961" max="8192" width="9.1796875" style="319"/>
    <col min="8193" max="8193" width="6" style="319" customWidth="1"/>
    <col min="8194" max="8194" width="51.81640625" style="319" customWidth="1"/>
    <col min="8195" max="8195" width="20.26953125" style="319" customWidth="1"/>
    <col min="8196" max="8196" width="13.453125" style="319" customWidth="1"/>
    <col min="8197" max="8203" width="0" style="319" hidden="1" customWidth="1"/>
    <col min="8204" max="8204" width="14.453125" style="319" customWidth="1"/>
    <col min="8205" max="8208" width="0" style="319" hidden="1" customWidth="1"/>
    <col min="8209" max="8209" width="15" style="319" customWidth="1"/>
    <col min="8210" max="8210" width="15.81640625" style="319" customWidth="1"/>
    <col min="8211" max="8212" width="0" style="319" hidden="1" customWidth="1"/>
    <col min="8213" max="8213" width="9.1796875" style="319"/>
    <col min="8214" max="8215" width="0" style="319" hidden="1" customWidth="1"/>
    <col min="8216" max="8216" width="10.26953125" style="319" customWidth="1"/>
    <col min="8217" max="8448" width="9.1796875" style="319"/>
    <col min="8449" max="8449" width="6" style="319" customWidth="1"/>
    <col min="8450" max="8450" width="51.81640625" style="319" customWidth="1"/>
    <col min="8451" max="8451" width="20.26953125" style="319" customWidth="1"/>
    <col min="8452" max="8452" width="13.453125" style="319" customWidth="1"/>
    <col min="8453" max="8459" width="0" style="319" hidden="1" customWidth="1"/>
    <col min="8460" max="8460" width="14.453125" style="319" customWidth="1"/>
    <col min="8461" max="8464" width="0" style="319" hidden="1" customWidth="1"/>
    <col min="8465" max="8465" width="15" style="319" customWidth="1"/>
    <col min="8466" max="8466" width="15.81640625" style="319" customWidth="1"/>
    <col min="8467" max="8468" width="0" style="319" hidden="1" customWidth="1"/>
    <col min="8469" max="8469" width="9.1796875" style="319"/>
    <col min="8470" max="8471" width="0" style="319" hidden="1" customWidth="1"/>
    <col min="8472" max="8472" width="10.26953125" style="319" customWidth="1"/>
    <col min="8473" max="8704" width="9.1796875" style="319"/>
    <col min="8705" max="8705" width="6" style="319" customWidth="1"/>
    <col min="8706" max="8706" width="51.81640625" style="319" customWidth="1"/>
    <col min="8707" max="8707" width="20.26953125" style="319" customWidth="1"/>
    <col min="8708" max="8708" width="13.453125" style="319" customWidth="1"/>
    <col min="8709" max="8715" width="0" style="319" hidden="1" customWidth="1"/>
    <col min="8716" max="8716" width="14.453125" style="319" customWidth="1"/>
    <col min="8717" max="8720" width="0" style="319" hidden="1" customWidth="1"/>
    <col min="8721" max="8721" width="15" style="319" customWidth="1"/>
    <col min="8722" max="8722" width="15.81640625" style="319" customWidth="1"/>
    <col min="8723" max="8724" width="0" style="319" hidden="1" customWidth="1"/>
    <col min="8725" max="8725" width="9.1796875" style="319"/>
    <col min="8726" max="8727" width="0" style="319" hidden="1" customWidth="1"/>
    <col min="8728" max="8728" width="10.26953125" style="319" customWidth="1"/>
    <col min="8729" max="8960" width="9.1796875" style="319"/>
    <col min="8961" max="8961" width="6" style="319" customWidth="1"/>
    <col min="8962" max="8962" width="51.81640625" style="319" customWidth="1"/>
    <col min="8963" max="8963" width="20.26953125" style="319" customWidth="1"/>
    <col min="8964" max="8964" width="13.453125" style="319" customWidth="1"/>
    <col min="8965" max="8971" width="0" style="319" hidden="1" customWidth="1"/>
    <col min="8972" max="8972" width="14.453125" style="319" customWidth="1"/>
    <col min="8973" max="8976" width="0" style="319" hidden="1" customWidth="1"/>
    <col min="8977" max="8977" width="15" style="319" customWidth="1"/>
    <col min="8978" max="8978" width="15.81640625" style="319" customWidth="1"/>
    <col min="8979" max="8980" width="0" style="319" hidden="1" customWidth="1"/>
    <col min="8981" max="8981" width="9.1796875" style="319"/>
    <col min="8982" max="8983" width="0" style="319" hidden="1" customWidth="1"/>
    <col min="8984" max="8984" width="10.26953125" style="319" customWidth="1"/>
    <col min="8985" max="9216" width="9.1796875" style="319"/>
    <col min="9217" max="9217" width="6" style="319" customWidth="1"/>
    <col min="9218" max="9218" width="51.81640625" style="319" customWidth="1"/>
    <col min="9219" max="9219" width="20.26953125" style="319" customWidth="1"/>
    <col min="9220" max="9220" width="13.453125" style="319" customWidth="1"/>
    <col min="9221" max="9227" width="0" style="319" hidden="1" customWidth="1"/>
    <col min="9228" max="9228" width="14.453125" style="319" customWidth="1"/>
    <col min="9229" max="9232" width="0" style="319" hidden="1" customWidth="1"/>
    <col min="9233" max="9233" width="15" style="319" customWidth="1"/>
    <col min="9234" max="9234" width="15.81640625" style="319" customWidth="1"/>
    <col min="9235" max="9236" width="0" style="319" hidden="1" customWidth="1"/>
    <col min="9237" max="9237" width="9.1796875" style="319"/>
    <col min="9238" max="9239" width="0" style="319" hidden="1" customWidth="1"/>
    <col min="9240" max="9240" width="10.26953125" style="319" customWidth="1"/>
    <col min="9241" max="9472" width="9.1796875" style="319"/>
    <col min="9473" max="9473" width="6" style="319" customWidth="1"/>
    <col min="9474" max="9474" width="51.81640625" style="319" customWidth="1"/>
    <col min="9475" max="9475" width="20.26953125" style="319" customWidth="1"/>
    <col min="9476" max="9476" width="13.453125" style="319" customWidth="1"/>
    <col min="9477" max="9483" width="0" style="319" hidden="1" customWidth="1"/>
    <col min="9484" max="9484" width="14.453125" style="319" customWidth="1"/>
    <col min="9485" max="9488" width="0" style="319" hidden="1" customWidth="1"/>
    <col min="9489" max="9489" width="15" style="319" customWidth="1"/>
    <col min="9490" max="9490" width="15.81640625" style="319" customWidth="1"/>
    <col min="9491" max="9492" width="0" style="319" hidden="1" customWidth="1"/>
    <col min="9493" max="9493" width="9.1796875" style="319"/>
    <col min="9494" max="9495" width="0" style="319" hidden="1" customWidth="1"/>
    <col min="9496" max="9496" width="10.26953125" style="319" customWidth="1"/>
    <col min="9497" max="9728" width="9.1796875" style="319"/>
    <col min="9729" max="9729" width="6" style="319" customWidth="1"/>
    <col min="9730" max="9730" width="51.81640625" style="319" customWidth="1"/>
    <col min="9731" max="9731" width="20.26953125" style="319" customWidth="1"/>
    <col min="9732" max="9732" width="13.453125" style="319" customWidth="1"/>
    <col min="9733" max="9739" width="0" style="319" hidden="1" customWidth="1"/>
    <col min="9740" max="9740" width="14.453125" style="319" customWidth="1"/>
    <col min="9741" max="9744" width="0" style="319" hidden="1" customWidth="1"/>
    <col min="9745" max="9745" width="15" style="319" customWidth="1"/>
    <col min="9746" max="9746" width="15.81640625" style="319" customWidth="1"/>
    <col min="9747" max="9748" width="0" style="319" hidden="1" customWidth="1"/>
    <col min="9749" max="9749" width="9.1796875" style="319"/>
    <col min="9750" max="9751" width="0" style="319" hidden="1" customWidth="1"/>
    <col min="9752" max="9752" width="10.26953125" style="319" customWidth="1"/>
    <col min="9753" max="9984" width="9.1796875" style="319"/>
    <col min="9985" max="9985" width="6" style="319" customWidth="1"/>
    <col min="9986" max="9986" width="51.81640625" style="319" customWidth="1"/>
    <col min="9987" max="9987" width="20.26953125" style="319" customWidth="1"/>
    <col min="9988" max="9988" width="13.453125" style="319" customWidth="1"/>
    <col min="9989" max="9995" width="0" style="319" hidden="1" customWidth="1"/>
    <col min="9996" max="9996" width="14.453125" style="319" customWidth="1"/>
    <col min="9997" max="10000" width="0" style="319" hidden="1" customWidth="1"/>
    <col min="10001" max="10001" width="15" style="319" customWidth="1"/>
    <col min="10002" max="10002" width="15.81640625" style="319" customWidth="1"/>
    <col min="10003" max="10004" width="0" style="319" hidden="1" customWidth="1"/>
    <col min="10005" max="10005" width="9.1796875" style="319"/>
    <col min="10006" max="10007" width="0" style="319" hidden="1" customWidth="1"/>
    <col min="10008" max="10008" width="10.26953125" style="319" customWidth="1"/>
    <col min="10009" max="10240" width="9.1796875" style="319"/>
    <col min="10241" max="10241" width="6" style="319" customWidth="1"/>
    <col min="10242" max="10242" width="51.81640625" style="319" customWidth="1"/>
    <col min="10243" max="10243" width="20.26953125" style="319" customWidth="1"/>
    <col min="10244" max="10244" width="13.453125" style="319" customWidth="1"/>
    <col min="10245" max="10251" width="0" style="319" hidden="1" customWidth="1"/>
    <col min="10252" max="10252" width="14.453125" style="319" customWidth="1"/>
    <col min="10253" max="10256" width="0" style="319" hidden="1" customWidth="1"/>
    <col min="10257" max="10257" width="15" style="319" customWidth="1"/>
    <col min="10258" max="10258" width="15.81640625" style="319" customWidth="1"/>
    <col min="10259" max="10260" width="0" style="319" hidden="1" customWidth="1"/>
    <col min="10261" max="10261" width="9.1796875" style="319"/>
    <col min="10262" max="10263" width="0" style="319" hidden="1" customWidth="1"/>
    <col min="10264" max="10264" width="10.26953125" style="319" customWidth="1"/>
    <col min="10265" max="10496" width="9.1796875" style="319"/>
    <col min="10497" max="10497" width="6" style="319" customWidth="1"/>
    <col min="10498" max="10498" width="51.81640625" style="319" customWidth="1"/>
    <col min="10499" max="10499" width="20.26953125" style="319" customWidth="1"/>
    <col min="10500" max="10500" width="13.453125" style="319" customWidth="1"/>
    <col min="10501" max="10507" width="0" style="319" hidden="1" customWidth="1"/>
    <col min="10508" max="10508" width="14.453125" style="319" customWidth="1"/>
    <col min="10509" max="10512" width="0" style="319" hidden="1" customWidth="1"/>
    <col min="10513" max="10513" width="15" style="319" customWidth="1"/>
    <col min="10514" max="10514" width="15.81640625" style="319" customWidth="1"/>
    <col min="10515" max="10516" width="0" style="319" hidden="1" customWidth="1"/>
    <col min="10517" max="10517" width="9.1796875" style="319"/>
    <col min="10518" max="10519" width="0" style="319" hidden="1" customWidth="1"/>
    <col min="10520" max="10520" width="10.26953125" style="319" customWidth="1"/>
    <col min="10521" max="10752" width="9.1796875" style="319"/>
    <col min="10753" max="10753" width="6" style="319" customWidth="1"/>
    <col min="10754" max="10754" width="51.81640625" style="319" customWidth="1"/>
    <col min="10755" max="10755" width="20.26953125" style="319" customWidth="1"/>
    <col min="10756" max="10756" width="13.453125" style="319" customWidth="1"/>
    <col min="10757" max="10763" width="0" style="319" hidden="1" customWidth="1"/>
    <col min="10764" max="10764" width="14.453125" style="319" customWidth="1"/>
    <col min="10765" max="10768" width="0" style="319" hidden="1" customWidth="1"/>
    <col min="10769" max="10769" width="15" style="319" customWidth="1"/>
    <col min="10770" max="10770" width="15.81640625" style="319" customWidth="1"/>
    <col min="10771" max="10772" width="0" style="319" hidden="1" customWidth="1"/>
    <col min="10773" max="10773" width="9.1796875" style="319"/>
    <col min="10774" max="10775" width="0" style="319" hidden="1" customWidth="1"/>
    <col min="10776" max="10776" width="10.26953125" style="319" customWidth="1"/>
    <col min="10777" max="11008" width="9.1796875" style="319"/>
    <col min="11009" max="11009" width="6" style="319" customWidth="1"/>
    <col min="11010" max="11010" width="51.81640625" style="319" customWidth="1"/>
    <col min="11011" max="11011" width="20.26953125" style="319" customWidth="1"/>
    <col min="11012" max="11012" width="13.453125" style="319" customWidth="1"/>
    <col min="11013" max="11019" width="0" style="319" hidden="1" customWidth="1"/>
    <col min="11020" max="11020" width="14.453125" style="319" customWidth="1"/>
    <col min="11021" max="11024" width="0" style="319" hidden="1" customWidth="1"/>
    <col min="11025" max="11025" width="15" style="319" customWidth="1"/>
    <col min="11026" max="11026" width="15.81640625" style="319" customWidth="1"/>
    <col min="11027" max="11028" width="0" style="319" hidden="1" customWidth="1"/>
    <col min="11029" max="11029" width="9.1796875" style="319"/>
    <col min="11030" max="11031" width="0" style="319" hidden="1" customWidth="1"/>
    <col min="11032" max="11032" width="10.26953125" style="319" customWidth="1"/>
    <col min="11033" max="11264" width="9.1796875" style="319"/>
    <col min="11265" max="11265" width="6" style="319" customWidth="1"/>
    <col min="11266" max="11266" width="51.81640625" style="319" customWidth="1"/>
    <col min="11267" max="11267" width="20.26953125" style="319" customWidth="1"/>
    <col min="11268" max="11268" width="13.453125" style="319" customWidth="1"/>
    <col min="11269" max="11275" width="0" style="319" hidden="1" customWidth="1"/>
    <col min="11276" max="11276" width="14.453125" style="319" customWidth="1"/>
    <col min="11277" max="11280" width="0" style="319" hidden="1" customWidth="1"/>
    <col min="11281" max="11281" width="15" style="319" customWidth="1"/>
    <col min="11282" max="11282" width="15.81640625" style="319" customWidth="1"/>
    <col min="11283" max="11284" width="0" style="319" hidden="1" customWidth="1"/>
    <col min="11285" max="11285" width="9.1796875" style="319"/>
    <col min="11286" max="11287" width="0" style="319" hidden="1" customWidth="1"/>
    <col min="11288" max="11288" width="10.26953125" style="319" customWidth="1"/>
    <col min="11289" max="11520" width="9.1796875" style="319"/>
    <col min="11521" max="11521" width="6" style="319" customWidth="1"/>
    <col min="11522" max="11522" width="51.81640625" style="319" customWidth="1"/>
    <col min="11523" max="11523" width="20.26953125" style="319" customWidth="1"/>
    <col min="11524" max="11524" width="13.453125" style="319" customWidth="1"/>
    <col min="11525" max="11531" width="0" style="319" hidden="1" customWidth="1"/>
    <col min="11532" max="11532" width="14.453125" style="319" customWidth="1"/>
    <col min="11533" max="11536" width="0" style="319" hidden="1" customWidth="1"/>
    <col min="11537" max="11537" width="15" style="319" customWidth="1"/>
    <col min="11538" max="11538" width="15.81640625" style="319" customWidth="1"/>
    <col min="11539" max="11540" width="0" style="319" hidden="1" customWidth="1"/>
    <col min="11541" max="11541" width="9.1796875" style="319"/>
    <col min="11542" max="11543" width="0" style="319" hidden="1" customWidth="1"/>
    <col min="11544" max="11544" width="10.26953125" style="319" customWidth="1"/>
    <col min="11545" max="11776" width="9.1796875" style="319"/>
    <col min="11777" max="11777" width="6" style="319" customWidth="1"/>
    <col min="11778" max="11778" width="51.81640625" style="319" customWidth="1"/>
    <col min="11779" max="11779" width="20.26953125" style="319" customWidth="1"/>
    <col min="11780" max="11780" width="13.453125" style="319" customWidth="1"/>
    <col min="11781" max="11787" width="0" style="319" hidden="1" customWidth="1"/>
    <col min="11788" max="11788" width="14.453125" style="319" customWidth="1"/>
    <col min="11789" max="11792" width="0" style="319" hidden="1" customWidth="1"/>
    <col min="11793" max="11793" width="15" style="319" customWidth="1"/>
    <col min="11794" max="11794" width="15.81640625" style="319" customWidth="1"/>
    <col min="11795" max="11796" width="0" style="319" hidden="1" customWidth="1"/>
    <col min="11797" max="11797" width="9.1796875" style="319"/>
    <col min="11798" max="11799" width="0" style="319" hidden="1" customWidth="1"/>
    <col min="11800" max="11800" width="10.26953125" style="319" customWidth="1"/>
    <col min="11801" max="12032" width="9.1796875" style="319"/>
    <col min="12033" max="12033" width="6" style="319" customWidth="1"/>
    <col min="12034" max="12034" width="51.81640625" style="319" customWidth="1"/>
    <col min="12035" max="12035" width="20.26953125" style="319" customWidth="1"/>
    <col min="12036" max="12036" width="13.453125" style="319" customWidth="1"/>
    <col min="12037" max="12043" width="0" style="319" hidden="1" customWidth="1"/>
    <col min="12044" max="12044" width="14.453125" style="319" customWidth="1"/>
    <col min="12045" max="12048" width="0" style="319" hidden="1" customWidth="1"/>
    <col min="12049" max="12049" width="15" style="319" customWidth="1"/>
    <col min="12050" max="12050" width="15.81640625" style="319" customWidth="1"/>
    <col min="12051" max="12052" width="0" style="319" hidden="1" customWidth="1"/>
    <col min="12053" max="12053" width="9.1796875" style="319"/>
    <col min="12054" max="12055" width="0" style="319" hidden="1" customWidth="1"/>
    <col min="12056" max="12056" width="10.26953125" style="319" customWidth="1"/>
    <col min="12057" max="12288" width="9.1796875" style="319"/>
    <col min="12289" max="12289" width="6" style="319" customWidth="1"/>
    <col min="12290" max="12290" width="51.81640625" style="319" customWidth="1"/>
    <col min="12291" max="12291" width="20.26953125" style="319" customWidth="1"/>
    <col min="12292" max="12292" width="13.453125" style="319" customWidth="1"/>
    <col min="12293" max="12299" width="0" style="319" hidden="1" customWidth="1"/>
    <col min="12300" max="12300" width="14.453125" style="319" customWidth="1"/>
    <col min="12301" max="12304" width="0" style="319" hidden="1" customWidth="1"/>
    <col min="12305" max="12305" width="15" style="319" customWidth="1"/>
    <col min="12306" max="12306" width="15.81640625" style="319" customWidth="1"/>
    <col min="12307" max="12308" width="0" style="319" hidden="1" customWidth="1"/>
    <col min="12309" max="12309" width="9.1796875" style="319"/>
    <col min="12310" max="12311" width="0" style="319" hidden="1" customWidth="1"/>
    <col min="12312" max="12312" width="10.26953125" style="319" customWidth="1"/>
    <col min="12313" max="12544" width="9.1796875" style="319"/>
    <col min="12545" max="12545" width="6" style="319" customWidth="1"/>
    <col min="12546" max="12546" width="51.81640625" style="319" customWidth="1"/>
    <col min="12547" max="12547" width="20.26953125" style="319" customWidth="1"/>
    <col min="12548" max="12548" width="13.453125" style="319" customWidth="1"/>
    <col min="12549" max="12555" width="0" style="319" hidden="1" customWidth="1"/>
    <col min="12556" max="12556" width="14.453125" style="319" customWidth="1"/>
    <col min="12557" max="12560" width="0" style="319" hidden="1" customWidth="1"/>
    <col min="12561" max="12561" width="15" style="319" customWidth="1"/>
    <col min="12562" max="12562" width="15.81640625" style="319" customWidth="1"/>
    <col min="12563" max="12564" width="0" style="319" hidden="1" customWidth="1"/>
    <col min="12565" max="12565" width="9.1796875" style="319"/>
    <col min="12566" max="12567" width="0" style="319" hidden="1" customWidth="1"/>
    <col min="12568" max="12568" width="10.26953125" style="319" customWidth="1"/>
    <col min="12569" max="12800" width="9.1796875" style="319"/>
    <col min="12801" max="12801" width="6" style="319" customWidth="1"/>
    <col min="12802" max="12802" width="51.81640625" style="319" customWidth="1"/>
    <col min="12803" max="12803" width="20.26953125" style="319" customWidth="1"/>
    <col min="12804" max="12804" width="13.453125" style="319" customWidth="1"/>
    <col min="12805" max="12811" width="0" style="319" hidden="1" customWidth="1"/>
    <col min="12812" max="12812" width="14.453125" style="319" customWidth="1"/>
    <col min="12813" max="12816" width="0" style="319" hidden="1" customWidth="1"/>
    <col min="12817" max="12817" width="15" style="319" customWidth="1"/>
    <col min="12818" max="12818" width="15.81640625" style="319" customWidth="1"/>
    <col min="12819" max="12820" width="0" style="319" hidden="1" customWidth="1"/>
    <col min="12821" max="12821" width="9.1796875" style="319"/>
    <col min="12822" max="12823" width="0" style="319" hidden="1" customWidth="1"/>
    <col min="12824" max="12824" width="10.26953125" style="319" customWidth="1"/>
    <col min="12825" max="13056" width="9.1796875" style="319"/>
    <col min="13057" max="13057" width="6" style="319" customWidth="1"/>
    <col min="13058" max="13058" width="51.81640625" style="319" customWidth="1"/>
    <col min="13059" max="13059" width="20.26953125" style="319" customWidth="1"/>
    <col min="13060" max="13060" width="13.453125" style="319" customWidth="1"/>
    <col min="13061" max="13067" width="0" style="319" hidden="1" customWidth="1"/>
    <col min="13068" max="13068" width="14.453125" style="319" customWidth="1"/>
    <col min="13069" max="13072" width="0" style="319" hidden="1" customWidth="1"/>
    <col min="13073" max="13073" width="15" style="319" customWidth="1"/>
    <col min="13074" max="13074" width="15.81640625" style="319" customWidth="1"/>
    <col min="13075" max="13076" width="0" style="319" hidden="1" customWidth="1"/>
    <col min="13077" max="13077" width="9.1796875" style="319"/>
    <col min="13078" max="13079" width="0" style="319" hidden="1" customWidth="1"/>
    <col min="13080" max="13080" width="10.26953125" style="319" customWidth="1"/>
    <col min="13081" max="13312" width="9.1796875" style="319"/>
    <col min="13313" max="13313" width="6" style="319" customWidth="1"/>
    <col min="13314" max="13314" width="51.81640625" style="319" customWidth="1"/>
    <col min="13315" max="13315" width="20.26953125" style="319" customWidth="1"/>
    <col min="13316" max="13316" width="13.453125" style="319" customWidth="1"/>
    <col min="13317" max="13323" width="0" style="319" hidden="1" customWidth="1"/>
    <col min="13324" max="13324" width="14.453125" style="319" customWidth="1"/>
    <col min="13325" max="13328" width="0" style="319" hidden="1" customWidth="1"/>
    <col min="13329" max="13329" width="15" style="319" customWidth="1"/>
    <col min="13330" max="13330" width="15.81640625" style="319" customWidth="1"/>
    <col min="13331" max="13332" width="0" style="319" hidden="1" customWidth="1"/>
    <col min="13333" max="13333" width="9.1796875" style="319"/>
    <col min="13334" max="13335" width="0" style="319" hidden="1" customWidth="1"/>
    <col min="13336" max="13336" width="10.26953125" style="319" customWidth="1"/>
    <col min="13337" max="13568" width="9.1796875" style="319"/>
    <col min="13569" max="13569" width="6" style="319" customWidth="1"/>
    <col min="13570" max="13570" width="51.81640625" style="319" customWidth="1"/>
    <col min="13571" max="13571" width="20.26953125" style="319" customWidth="1"/>
    <col min="13572" max="13572" width="13.453125" style="319" customWidth="1"/>
    <col min="13573" max="13579" width="0" style="319" hidden="1" customWidth="1"/>
    <col min="13580" max="13580" width="14.453125" style="319" customWidth="1"/>
    <col min="13581" max="13584" width="0" style="319" hidden="1" customWidth="1"/>
    <col min="13585" max="13585" width="15" style="319" customWidth="1"/>
    <col min="13586" max="13586" width="15.81640625" style="319" customWidth="1"/>
    <col min="13587" max="13588" width="0" style="319" hidden="1" customWidth="1"/>
    <col min="13589" max="13589" width="9.1796875" style="319"/>
    <col min="13590" max="13591" width="0" style="319" hidden="1" customWidth="1"/>
    <col min="13592" max="13592" width="10.26953125" style="319" customWidth="1"/>
    <col min="13593" max="13824" width="9.1796875" style="319"/>
    <col min="13825" max="13825" width="6" style="319" customWidth="1"/>
    <col min="13826" max="13826" width="51.81640625" style="319" customWidth="1"/>
    <col min="13827" max="13827" width="20.26953125" style="319" customWidth="1"/>
    <col min="13828" max="13828" width="13.453125" style="319" customWidth="1"/>
    <col min="13829" max="13835" width="0" style="319" hidden="1" customWidth="1"/>
    <col min="13836" max="13836" width="14.453125" style="319" customWidth="1"/>
    <col min="13837" max="13840" width="0" style="319" hidden="1" customWidth="1"/>
    <col min="13841" max="13841" width="15" style="319" customWidth="1"/>
    <col min="13842" max="13842" width="15.81640625" style="319" customWidth="1"/>
    <col min="13843" max="13844" width="0" style="319" hidden="1" customWidth="1"/>
    <col min="13845" max="13845" width="9.1796875" style="319"/>
    <col min="13846" max="13847" width="0" style="319" hidden="1" customWidth="1"/>
    <col min="13848" max="13848" width="10.26953125" style="319" customWidth="1"/>
    <col min="13849" max="14080" width="9.1796875" style="319"/>
    <col min="14081" max="14081" width="6" style="319" customWidth="1"/>
    <col min="14082" max="14082" width="51.81640625" style="319" customWidth="1"/>
    <col min="14083" max="14083" width="20.26953125" style="319" customWidth="1"/>
    <col min="14084" max="14084" width="13.453125" style="319" customWidth="1"/>
    <col min="14085" max="14091" width="0" style="319" hidden="1" customWidth="1"/>
    <col min="14092" max="14092" width="14.453125" style="319" customWidth="1"/>
    <col min="14093" max="14096" width="0" style="319" hidden="1" customWidth="1"/>
    <col min="14097" max="14097" width="15" style="319" customWidth="1"/>
    <col min="14098" max="14098" width="15.81640625" style="319" customWidth="1"/>
    <col min="14099" max="14100" width="0" style="319" hidden="1" customWidth="1"/>
    <col min="14101" max="14101" width="9.1796875" style="319"/>
    <col min="14102" max="14103" width="0" style="319" hidden="1" customWidth="1"/>
    <col min="14104" max="14104" width="10.26953125" style="319" customWidth="1"/>
    <col min="14105" max="14336" width="9.1796875" style="319"/>
    <col min="14337" max="14337" width="6" style="319" customWidth="1"/>
    <col min="14338" max="14338" width="51.81640625" style="319" customWidth="1"/>
    <col min="14339" max="14339" width="20.26953125" style="319" customWidth="1"/>
    <col min="14340" max="14340" width="13.453125" style="319" customWidth="1"/>
    <col min="14341" max="14347" width="0" style="319" hidden="1" customWidth="1"/>
    <col min="14348" max="14348" width="14.453125" style="319" customWidth="1"/>
    <col min="14349" max="14352" width="0" style="319" hidden="1" customWidth="1"/>
    <col min="14353" max="14353" width="15" style="319" customWidth="1"/>
    <col min="14354" max="14354" width="15.81640625" style="319" customWidth="1"/>
    <col min="14355" max="14356" width="0" style="319" hidden="1" customWidth="1"/>
    <col min="14357" max="14357" width="9.1796875" style="319"/>
    <col min="14358" max="14359" width="0" style="319" hidden="1" customWidth="1"/>
    <col min="14360" max="14360" width="10.26953125" style="319" customWidth="1"/>
    <col min="14361" max="14592" width="9.1796875" style="319"/>
    <col min="14593" max="14593" width="6" style="319" customWidth="1"/>
    <col min="14594" max="14594" width="51.81640625" style="319" customWidth="1"/>
    <col min="14595" max="14595" width="20.26953125" style="319" customWidth="1"/>
    <col min="14596" max="14596" width="13.453125" style="319" customWidth="1"/>
    <col min="14597" max="14603" width="0" style="319" hidden="1" customWidth="1"/>
    <col min="14604" max="14604" width="14.453125" style="319" customWidth="1"/>
    <col min="14605" max="14608" width="0" style="319" hidden="1" customWidth="1"/>
    <col min="14609" max="14609" width="15" style="319" customWidth="1"/>
    <col min="14610" max="14610" width="15.81640625" style="319" customWidth="1"/>
    <col min="14611" max="14612" width="0" style="319" hidden="1" customWidth="1"/>
    <col min="14613" max="14613" width="9.1796875" style="319"/>
    <col min="14614" max="14615" width="0" style="319" hidden="1" customWidth="1"/>
    <col min="14616" max="14616" width="10.26953125" style="319" customWidth="1"/>
    <col min="14617" max="14848" width="9.1796875" style="319"/>
    <col min="14849" max="14849" width="6" style="319" customWidth="1"/>
    <col min="14850" max="14850" width="51.81640625" style="319" customWidth="1"/>
    <col min="14851" max="14851" width="20.26953125" style="319" customWidth="1"/>
    <col min="14852" max="14852" width="13.453125" style="319" customWidth="1"/>
    <col min="14853" max="14859" width="0" style="319" hidden="1" customWidth="1"/>
    <col min="14860" max="14860" width="14.453125" style="319" customWidth="1"/>
    <col min="14861" max="14864" width="0" style="319" hidden="1" customWidth="1"/>
    <col min="14865" max="14865" width="15" style="319" customWidth="1"/>
    <col min="14866" max="14866" width="15.81640625" style="319" customWidth="1"/>
    <col min="14867" max="14868" width="0" style="319" hidden="1" customWidth="1"/>
    <col min="14869" max="14869" width="9.1796875" style="319"/>
    <col min="14870" max="14871" width="0" style="319" hidden="1" customWidth="1"/>
    <col min="14872" max="14872" width="10.26953125" style="319" customWidth="1"/>
    <col min="14873" max="15104" width="9.1796875" style="319"/>
    <col min="15105" max="15105" width="6" style="319" customWidth="1"/>
    <col min="15106" max="15106" width="51.81640625" style="319" customWidth="1"/>
    <col min="15107" max="15107" width="20.26953125" style="319" customWidth="1"/>
    <col min="15108" max="15108" width="13.453125" style="319" customWidth="1"/>
    <col min="15109" max="15115" width="0" style="319" hidden="1" customWidth="1"/>
    <col min="15116" max="15116" width="14.453125" style="319" customWidth="1"/>
    <col min="15117" max="15120" width="0" style="319" hidden="1" customWidth="1"/>
    <col min="15121" max="15121" width="15" style="319" customWidth="1"/>
    <col min="15122" max="15122" width="15.81640625" style="319" customWidth="1"/>
    <col min="15123" max="15124" width="0" style="319" hidden="1" customWidth="1"/>
    <col min="15125" max="15125" width="9.1796875" style="319"/>
    <col min="15126" max="15127" width="0" style="319" hidden="1" customWidth="1"/>
    <col min="15128" max="15128" width="10.26953125" style="319" customWidth="1"/>
    <col min="15129" max="15360" width="9.1796875" style="319"/>
    <col min="15361" max="15361" width="6" style="319" customWidth="1"/>
    <col min="15362" max="15362" width="51.81640625" style="319" customWidth="1"/>
    <col min="15363" max="15363" width="20.26953125" style="319" customWidth="1"/>
    <col min="15364" max="15364" width="13.453125" style="319" customWidth="1"/>
    <col min="15365" max="15371" width="0" style="319" hidden="1" customWidth="1"/>
    <col min="15372" max="15372" width="14.453125" style="319" customWidth="1"/>
    <col min="15373" max="15376" width="0" style="319" hidden="1" customWidth="1"/>
    <col min="15377" max="15377" width="15" style="319" customWidth="1"/>
    <col min="15378" max="15378" width="15.81640625" style="319" customWidth="1"/>
    <col min="15379" max="15380" width="0" style="319" hidden="1" customWidth="1"/>
    <col min="15381" max="15381" width="9.1796875" style="319"/>
    <col min="15382" max="15383" width="0" style="319" hidden="1" customWidth="1"/>
    <col min="15384" max="15384" width="10.26953125" style="319" customWidth="1"/>
    <col min="15385" max="15616" width="9.1796875" style="319"/>
    <col min="15617" max="15617" width="6" style="319" customWidth="1"/>
    <col min="15618" max="15618" width="51.81640625" style="319" customWidth="1"/>
    <col min="15619" max="15619" width="20.26953125" style="319" customWidth="1"/>
    <col min="15620" max="15620" width="13.453125" style="319" customWidth="1"/>
    <col min="15621" max="15627" width="0" style="319" hidden="1" customWidth="1"/>
    <col min="15628" max="15628" width="14.453125" style="319" customWidth="1"/>
    <col min="15629" max="15632" width="0" style="319" hidden="1" customWidth="1"/>
    <col min="15633" max="15633" width="15" style="319" customWidth="1"/>
    <col min="15634" max="15634" width="15.81640625" style="319" customWidth="1"/>
    <col min="15635" max="15636" width="0" style="319" hidden="1" customWidth="1"/>
    <col min="15637" max="15637" width="9.1796875" style="319"/>
    <col min="15638" max="15639" width="0" style="319" hidden="1" customWidth="1"/>
    <col min="15640" max="15640" width="10.26953125" style="319" customWidth="1"/>
    <col min="15641" max="15872" width="9.1796875" style="319"/>
    <col min="15873" max="15873" width="6" style="319" customWidth="1"/>
    <col min="15874" max="15874" width="51.81640625" style="319" customWidth="1"/>
    <col min="15875" max="15875" width="20.26953125" style="319" customWidth="1"/>
    <col min="15876" max="15876" width="13.453125" style="319" customWidth="1"/>
    <col min="15877" max="15883" width="0" style="319" hidden="1" customWidth="1"/>
    <col min="15884" max="15884" width="14.453125" style="319" customWidth="1"/>
    <col min="15885" max="15888" width="0" style="319" hidden="1" customWidth="1"/>
    <col min="15889" max="15889" width="15" style="319" customWidth="1"/>
    <col min="15890" max="15890" width="15.81640625" style="319" customWidth="1"/>
    <col min="15891" max="15892" width="0" style="319" hidden="1" customWidth="1"/>
    <col min="15893" max="15893" width="9.1796875" style="319"/>
    <col min="15894" max="15895" width="0" style="319" hidden="1" customWidth="1"/>
    <col min="15896" max="15896" width="10.26953125" style="319" customWidth="1"/>
    <col min="15897" max="16128" width="9.1796875" style="319"/>
    <col min="16129" max="16129" width="6" style="319" customWidth="1"/>
    <col min="16130" max="16130" width="51.81640625" style="319" customWidth="1"/>
    <col min="16131" max="16131" width="20.26953125" style="319" customWidth="1"/>
    <col min="16132" max="16132" width="13.453125" style="319" customWidth="1"/>
    <col min="16133" max="16139" width="0" style="319" hidden="1" customWidth="1"/>
    <col min="16140" max="16140" width="14.453125" style="319" customWidth="1"/>
    <col min="16141" max="16144" width="0" style="319" hidden="1" customWidth="1"/>
    <col min="16145" max="16145" width="15" style="319" customWidth="1"/>
    <col min="16146" max="16146" width="15.81640625" style="319" customWidth="1"/>
    <col min="16147" max="16148" width="0" style="319" hidden="1" customWidth="1"/>
    <col min="16149" max="16149" width="9.1796875" style="319"/>
    <col min="16150" max="16151" width="0" style="319" hidden="1" customWidth="1"/>
    <col min="16152" max="16152" width="10.26953125" style="319" customWidth="1"/>
    <col min="16153" max="16384" width="9.1796875" style="319"/>
  </cols>
  <sheetData>
    <row r="1" spans="1:26" ht="20" hidden="1">
      <c r="A1" s="21" t="s">
        <v>383</v>
      </c>
      <c r="R1" s="321"/>
    </row>
    <row r="2" spans="1:26" ht="21.75" customHeight="1">
      <c r="A2" s="21"/>
      <c r="R2" s="359" t="s">
        <v>496</v>
      </c>
    </row>
    <row r="3" spans="1:26">
      <c r="A3" s="417" t="s">
        <v>446</v>
      </c>
      <c r="B3" s="417"/>
      <c r="C3" s="417"/>
      <c r="D3" s="417"/>
      <c r="E3" s="417"/>
      <c r="F3" s="417"/>
      <c r="G3" s="417"/>
      <c r="H3" s="417"/>
      <c r="I3" s="417"/>
      <c r="J3" s="417"/>
      <c r="K3" s="417"/>
      <c r="L3" s="417"/>
      <c r="M3" s="417"/>
      <c r="N3" s="417"/>
      <c r="O3" s="417"/>
      <c r="P3" s="417"/>
      <c r="Q3" s="417"/>
      <c r="R3" s="417"/>
      <c r="S3" s="417"/>
      <c r="T3" s="322"/>
    </row>
    <row r="4" spans="1:26" ht="18">
      <c r="A4" s="418" t="str">
        <f>+'CHI TIẾT SN GD'!A4:D4</f>
        <v>(Kèm theo Báo cáo số            /BC-UBND ngày       tháng 12 năm 2022 của UBND huyện Tuần Giáo)</v>
      </c>
      <c r="B4" s="418"/>
      <c r="C4" s="418"/>
      <c r="D4" s="418"/>
      <c r="E4" s="418"/>
      <c r="F4" s="418"/>
      <c r="G4" s="418"/>
      <c r="H4" s="418"/>
      <c r="I4" s="418"/>
      <c r="J4" s="418"/>
      <c r="K4" s="418"/>
      <c r="L4" s="418"/>
      <c r="M4" s="418"/>
      <c r="N4" s="418"/>
      <c r="O4" s="418"/>
      <c r="P4" s="418"/>
      <c r="Q4" s="418"/>
      <c r="R4" s="418"/>
      <c r="S4" s="323"/>
      <c r="T4" s="322"/>
    </row>
    <row r="5" spans="1:26">
      <c r="A5" s="324"/>
      <c r="B5" s="325"/>
      <c r="C5" s="325"/>
      <c r="D5" s="325"/>
      <c r="E5" s="325"/>
      <c r="F5" s="325"/>
      <c r="G5" s="419" t="s">
        <v>447</v>
      </c>
      <c r="H5" s="419"/>
      <c r="I5" s="419"/>
      <c r="J5" s="419"/>
      <c r="K5" s="419"/>
      <c r="L5" s="419"/>
      <c r="M5" s="419"/>
      <c r="N5" s="419"/>
      <c r="O5" s="419"/>
      <c r="P5" s="419"/>
      <c r="Q5" s="419"/>
      <c r="R5" s="419"/>
      <c r="S5" s="419"/>
      <c r="T5" s="326"/>
    </row>
    <row r="6" spans="1:26" ht="26.25" customHeight="1">
      <c r="A6" s="415" t="s">
        <v>386</v>
      </c>
      <c r="B6" s="415" t="s">
        <v>448</v>
      </c>
      <c r="C6" s="420" t="s">
        <v>449</v>
      </c>
      <c r="D6" s="420" t="s">
        <v>450</v>
      </c>
      <c r="E6" s="422" t="s">
        <v>451</v>
      </c>
      <c r="F6" s="422"/>
      <c r="G6" s="423" t="s">
        <v>452</v>
      </c>
      <c r="H6" s="425" t="s">
        <v>453</v>
      </c>
      <c r="I6" s="425"/>
      <c r="J6" s="425"/>
      <c r="K6" s="425"/>
      <c r="L6" s="425"/>
      <c r="M6" s="410" t="s">
        <v>454</v>
      </c>
      <c r="N6" s="411"/>
      <c r="O6" s="411"/>
      <c r="P6" s="411"/>
      <c r="Q6" s="412"/>
      <c r="R6" s="413" t="s">
        <v>455</v>
      </c>
      <c r="S6" s="415" t="s">
        <v>456</v>
      </c>
      <c r="T6" s="328"/>
    </row>
    <row r="7" spans="1:26" ht="26.25" customHeight="1">
      <c r="A7" s="416"/>
      <c r="B7" s="416"/>
      <c r="C7" s="421"/>
      <c r="D7" s="421"/>
      <c r="E7" s="329" t="s">
        <v>457</v>
      </c>
      <c r="F7" s="329" t="s">
        <v>458</v>
      </c>
      <c r="G7" s="424"/>
      <c r="H7" s="330" t="s">
        <v>459</v>
      </c>
      <c r="I7" s="330" t="s">
        <v>460</v>
      </c>
      <c r="J7" s="329" t="s">
        <v>461</v>
      </c>
      <c r="K7" s="329" t="s">
        <v>462</v>
      </c>
      <c r="L7" s="329" t="s">
        <v>463</v>
      </c>
      <c r="M7" s="327" t="s">
        <v>459</v>
      </c>
      <c r="N7" s="327" t="s">
        <v>460</v>
      </c>
      <c r="O7" s="327" t="s">
        <v>461</v>
      </c>
      <c r="P7" s="329" t="s">
        <v>462</v>
      </c>
      <c r="Q7" s="327" t="s">
        <v>463</v>
      </c>
      <c r="R7" s="414"/>
      <c r="S7" s="416"/>
      <c r="T7" s="328"/>
    </row>
    <row r="8" spans="1:26">
      <c r="A8" s="331"/>
      <c r="B8" s="331" t="s">
        <v>464</v>
      </c>
      <c r="C8" s="331"/>
      <c r="D8" s="332">
        <f t="shared" ref="D8:R8" si="0">D9+D20</f>
        <v>48300</v>
      </c>
      <c r="E8" s="332">
        <f t="shared" si="0"/>
        <v>0</v>
      </c>
      <c r="F8" s="332">
        <f t="shared" si="0"/>
        <v>0</v>
      </c>
      <c r="G8" s="332">
        <f t="shared" si="0"/>
        <v>0</v>
      </c>
      <c r="H8" s="332">
        <f t="shared" si="0"/>
        <v>0</v>
      </c>
      <c r="I8" s="332">
        <f t="shared" si="0"/>
        <v>0</v>
      </c>
      <c r="J8" s="332">
        <f t="shared" si="0"/>
        <v>0</v>
      </c>
      <c r="K8" s="332">
        <f t="shared" si="0"/>
        <v>0</v>
      </c>
      <c r="L8" s="332">
        <f t="shared" si="0"/>
        <v>22954</v>
      </c>
      <c r="M8" s="332">
        <f t="shared" si="0"/>
        <v>0</v>
      </c>
      <c r="N8" s="332">
        <f t="shared" si="0"/>
        <v>0</v>
      </c>
      <c r="O8" s="332">
        <f t="shared" si="0"/>
        <v>0</v>
      </c>
      <c r="P8" s="332">
        <f t="shared" si="0"/>
        <v>0</v>
      </c>
      <c r="Q8" s="332">
        <f t="shared" si="0"/>
        <v>14600</v>
      </c>
      <c r="R8" s="332">
        <f t="shared" si="0"/>
        <v>20924</v>
      </c>
      <c r="S8" s="333"/>
      <c r="T8" s="328"/>
    </row>
    <row r="9" spans="1:26" s="336" customFormat="1" ht="15">
      <c r="A9" s="331" t="s">
        <v>3</v>
      </c>
      <c r="B9" s="334" t="s">
        <v>465</v>
      </c>
      <c r="C9" s="331"/>
      <c r="D9" s="332">
        <f>SUM(D10:D19)</f>
        <v>23300</v>
      </c>
      <c r="E9" s="332">
        <f t="shared" ref="E9:R9" si="1">SUM(E10:E19)</f>
        <v>0</v>
      </c>
      <c r="F9" s="332">
        <f t="shared" si="1"/>
        <v>0</v>
      </c>
      <c r="G9" s="332">
        <f t="shared" si="1"/>
        <v>0</v>
      </c>
      <c r="H9" s="332">
        <f t="shared" si="1"/>
        <v>0</v>
      </c>
      <c r="I9" s="332">
        <f t="shared" si="1"/>
        <v>0</v>
      </c>
      <c r="J9" s="332">
        <f t="shared" si="1"/>
        <v>0</v>
      </c>
      <c r="K9" s="332">
        <f t="shared" si="1"/>
        <v>0</v>
      </c>
      <c r="L9" s="332">
        <f t="shared" si="1"/>
        <v>22954</v>
      </c>
      <c r="M9" s="332">
        <f t="shared" si="1"/>
        <v>0</v>
      </c>
      <c r="N9" s="332">
        <f t="shared" si="1"/>
        <v>0</v>
      </c>
      <c r="O9" s="332">
        <f t="shared" si="1"/>
        <v>0</v>
      </c>
      <c r="P9" s="332">
        <f t="shared" si="1"/>
        <v>0</v>
      </c>
      <c r="Q9" s="332">
        <f t="shared" si="1"/>
        <v>14600</v>
      </c>
      <c r="R9" s="332">
        <f t="shared" si="1"/>
        <v>8354</v>
      </c>
      <c r="S9" s="335"/>
      <c r="T9" s="322"/>
      <c r="X9" s="337"/>
    </row>
    <row r="10" spans="1:26">
      <c r="A10" s="338">
        <v>1</v>
      </c>
      <c r="B10" s="339" t="s">
        <v>466</v>
      </c>
      <c r="C10" s="340" t="s">
        <v>155</v>
      </c>
      <c r="D10" s="341">
        <v>2500</v>
      </c>
      <c r="E10" s="342"/>
      <c r="F10" s="343"/>
      <c r="G10" s="343"/>
      <c r="H10" s="343"/>
      <c r="I10" s="343"/>
      <c r="J10" s="343"/>
      <c r="K10" s="343"/>
      <c r="L10" s="344">
        <v>2493</v>
      </c>
      <c r="M10" s="344"/>
      <c r="N10" s="344"/>
      <c r="O10" s="344"/>
      <c r="P10" s="344"/>
      <c r="Q10" s="344">
        <f>1200+500</f>
        <v>1700</v>
      </c>
      <c r="R10" s="344">
        <f>L10-Q10</f>
        <v>793</v>
      </c>
      <c r="S10" s="345"/>
      <c r="X10" s="346"/>
      <c r="Z10" s="347"/>
    </row>
    <row r="11" spans="1:26">
      <c r="A11" s="338">
        <v>2</v>
      </c>
      <c r="B11" s="339" t="s">
        <v>467</v>
      </c>
      <c r="C11" s="340" t="s">
        <v>150</v>
      </c>
      <c r="D11" s="341">
        <v>2000</v>
      </c>
      <c r="E11" s="342"/>
      <c r="F11" s="343"/>
      <c r="G11" s="343"/>
      <c r="H11" s="343"/>
      <c r="I11" s="343"/>
      <c r="J11" s="343"/>
      <c r="K11" s="343"/>
      <c r="L11" s="344">
        <v>1905</v>
      </c>
      <c r="M11" s="344"/>
      <c r="N11" s="344"/>
      <c r="O11" s="344"/>
      <c r="P11" s="344"/>
      <c r="Q11" s="344">
        <v>1000</v>
      </c>
      <c r="R11" s="344">
        <f t="shared" ref="R11:R19" si="2">L11-Q11</f>
        <v>905</v>
      </c>
      <c r="S11" s="345"/>
      <c r="X11" s="346"/>
    </row>
    <row r="12" spans="1:26">
      <c r="A12" s="338">
        <v>3</v>
      </c>
      <c r="B12" s="339" t="s">
        <v>468</v>
      </c>
      <c r="C12" s="348" t="s">
        <v>156</v>
      </c>
      <c r="D12" s="349">
        <v>2000</v>
      </c>
      <c r="E12" s="342"/>
      <c r="F12" s="343"/>
      <c r="G12" s="343"/>
      <c r="H12" s="343"/>
      <c r="I12" s="343"/>
      <c r="J12" s="343"/>
      <c r="K12" s="343"/>
      <c r="L12" s="344">
        <v>1873</v>
      </c>
      <c r="M12" s="344"/>
      <c r="N12" s="344"/>
      <c r="O12" s="344"/>
      <c r="P12" s="344"/>
      <c r="Q12" s="344">
        <f>1000+500</f>
        <v>1500</v>
      </c>
      <c r="R12" s="344">
        <f t="shared" si="2"/>
        <v>373</v>
      </c>
      <c r="S12" s="345"/>
      <c r="X12" s="346"/>
    </row>
    <row r="13" spans="1:26">
      <c r="A13" s="338">
        <v>4</v>
      </c>
      <c r="B13" s="339" t="s">
        <v>469</v>
      </c>
      <c r="C13" s="348" t="s">
        <v>470</v>
      </c>
      <c r="D13" s="349">
        <v>2500</v>
      </c>
      <c r="E13" s="342"/>
      <c r="F13" s="343"/>
      <c r="G13" s="343"/>
      <c r="H13" s="343"/>
      <c r="I13" s="343"/>
      <c r="J13" s="343"/>
      <c r="K13" s="343"/>
      <c r="L13" s="344">
        <v>2493</v>
      </c>
      <c r="M13" s="344"/>
      <c r="N13" s="344"/>
      <c r="O13" s="344"/>
      <c r="P13" s="344"/>
      <c r="Q13" s="344">
        <v>1300</v>
      </c>
      <c r="R13" s="344">
        <f t="shared" si="2"/>
        <v>1193</v>
      </c>
      <c r="S13" s="345"/>
      <c r="X13" s="346"/>
    </row>
    <row r="14" spans="1:26">
      <c r="A14" s="338">
        <v>5</v>
      </c>
      <c r="B14" s="339" t="s">
        <v>471</v>
      </c>
      <c r="C14" s="348" t="s">
        <v>472</v>
      </c>
      <c r="D14" s="349">
        <v>2300</v>
      </c>
      <c r="E14" s="342"/>
      <c r="F14" s="343"/>
      <c r="G14" s="343"/>
      <c r="H14" s="343"/>
      <c r="I14" s="343"/>
      <c r="J14" s="343"/>
      <c r="K14" s="343"/>
      <c r="L14" s="344">
        <v>2292</v>
      </c>
      <c r="M14" s="344"/>
      <c r="N14" s="344"/>
      <c r="O14" s="344"/>
      <c r="P14" s="344"/>
      <c r="Q14" s="344">
        <v>1100</v>
      </c>
      <c r="R14" s="344">
        <f t="shared" si="2"/>
        <v>1192</v>
      </c>
      <c r="S14" s="345"/>
      <c r="X14" s="346"/>
    </row>
    <row r="15" spans="1:26">
      <c r="A15" s="338">
        <v>6</v>
      </c>
      <c r="B15" s="339" t="s">
        <v>473</v>
      </c>
      <c r="C15" s="348" t="s">
        <v>474</v>
      </c>
      <c r="D15" s="349">
        <v>3500</v>
      </c>
      <c r="E15" s="342"/>
      <c r="F15" s="343"/>
      <c r="G15" s="343"/>
      <c r="H15" s="343"/>
      <c r="I15" s="343"/>
      <c r="J15" s="343"/>
      <c r="K15" s="343"/>
      <c r="L15" s="344">
        <v>3481</v>
      </c>
      <c r="M15" s="344"/>
      <c r="N15" s="344"/>
      <c r="O15" s="344"/>
      <c r="P15" s="344"/>
      <c r="Q15" s="344">
        <v>1800</v>
      </c>
      <c r="R15" s="344">
        <f t="shared" si="2"/>
        <v>1681</v>
      </c>
      <c r="S15" s="345"/>
      <c r="X15" s="346"/>
    </row>
    <row r="16" spans="1:26">
      <c r="A16" s="338">
        <v>7</v>
      </c>
      <c r="B16" s="339" t="s">
        <v>475</v>
      </c>
      <c r="C16" s="348" t="s">
        <v>476</v>
      </c>
      <c r="D16" s="349">
        <v>1900</v>
      </c>
      <c r="E16" s="342"/>
      <c r="F16" s="343"/>
      <c r="G16" s="343"/>
      <c r="H16" s="343"/>
      <c r="I16" s="343"/>
      <c r="J16" s="343"/>
      <c r="K16" s="343"/>
      <c r="L16" s="344">
        <v>1895</v>
      </c>
      <c r="M16" s="344"/>
      <c r="N16" s="344"/>
      <c r="O16" s="344"/>
      <c r="P16" s="344"/>
      <c r="Q16" s="344">
        <f>1000+500</f>
        <v>1500</v>
      </c>
      <c r="R16" s="344">
        <f t="shared" si="2"/>
        <v>395</v>
      </c>
      <c r="S16" s="345"/>
      <c r="X16" s="346"/>
    </row>
    <row r="17" spans="1:26">
      <c r="A17" s="338">
        <v>8</v>
      </c>
      <c r="B17" s="339" t="s">
        <v>477</v>
      </c>
      <c r="C17" s="348" t="s">
        <v>474</v>
      </c>
      <c r="D17" s="349">
        <v>2500</v>
      </c>
      <c r="E17" s="342"/>
      <c r="F17" s="343"/>
      <c r="G17" s="343"/>
      <c r="H17" s="343"/>
      <c r="I17" s="343"/>
      <c r="J17" s="343"/>
      <c r="K17" s="343"/>
      <c r="L17" s="344">
        <v>2478</v>
      </c>
      <c r="M17" s="344"/>
      <c r="N17" s="344"/>
      <c r="O17" s="344"/>
      <c r="P17" s="344"/>
      <c r="Q17" s="344">
        <f>1200+500</f>
        <v>1700</v>
      </c>
      <c r="R17" s="344">
        <f t="shared" si="2"/>
        <v>778</v>
      </c>
      <c r="S17" s="345"/>
      <c r="X17" s="346"/>
    </row>
    <row r="18" spans="1:26">
      <c r="A18" s="338">
        <v>9</v>
      </c>
      <c r="B18" s="339" t="s">
        <v>478</v>
      </c>
      <c r="C18" s="348" t="s">
        <v>479</v>
      </c>
      <c r="D18" s="349">
        <v>1500</v>
      </c>
      <c r="E18" s="342"/>
      <c r="F18" s="343"/>
      <c r="G18" s="343"/>
      <c r="H18" s="343"/>
      <c r="I18" s="343"/>
      <c r="J18" s="343"/>
      <c r="K18" s="343"/>
      <c r="L18" s="344">
        <v>1489</v>
      </c>
      <c r="M18" s="344"/>
      <c r="N18" s="344"/>
      <c r="O18" s="344"/>
      <c r="P18" s="344"/>
      <c r="Q18" s="344">
        <v>1000</v>
      </c>
      <c r="R18" s="344">
        <f t="shared" si="2"/>
        <v>489</v>
      </c>
      <c r="S18" s="345"/>
      <c r="X18" s="346"/>
    </row>
    <row r="19" spans="1:26">
      <c r="A19" s="338">
        <v>10</v>
      </c>
      <c r="B19" s="339" t="s">
        <v>480</v>
      </c>
      <c r="C19" s="348" t="s">
        <v>470</v>
      </c>
      <c r="D19" s="349">
        <v>2600</v>
      </c>
      <c r="E19" s="342"/>
      <c r="F19" s="343"/>
      <c r="G19" s="343"/>
      <c r="H19" s="343"/>
      <c r="I19" s="343"/>
      <c r="J19" s="343"/>
      <c r="K19" s="343"/>
      <c r="L19" s="344">
        <v>2555</v>
      </c>
      <c r="M19" s="344"/>
      <c r="N19" s="344"/>
      <c r="O19" s="344"/>
      <c r="P19" s="344"/>
      <c r="Q19" s="344">
        <f>1000+1000</f>
        <v>2000</v>
      </c>
      <c r="R19" s="344">
        <f t="shared" si="2"/>
        <v>555</v>
      </c>
      <c r="S19" s="345"/>
      <c r="X19" s="346"/>
    </row>
    <row r="20" spans="1:26" s="355" customFormat="1" ht="15">
      <c r="A20" s="350" t="s">
        <v>4</v>
      </c>
      <c r="B20" s="351" t="s">
        <v>481</v>
      </c>
      <c r="C20" s="350"/>
      <c r="D20" s="352">
        <f>SUM(D21:D32)</f>
        <v>25000</v>
      </c>
      <c r="E20" s="352">
        <f t="shared" ref="E20:Q20" si="3">SUM(E21:E32)</f>
        <v>0</v>
      </c>
      <c r="F20" s="352">
        <f t="shared" si="3"/>
        <v>0</v>
      </c>
      <c r="G20" s="352">
        <f t="shared" si="3"/>
        <v>0</v>
      </c>
      <c r="H20" s="352">
        <f t="shared" si="3"/>
        <v>0</v>
      </c>
      <c r="I20" s="352">
        <f t="shared" si="3"/>
        <v>0</v>
      </c>
      <c r="J20" s="352">
        <f t="shared" si="3"/>
        <v>0</v>
      </c>
      <c r="K20" s="352">
        <f t="shared" si="3"/>
        <v>0</v>
      </c>
      <c r="L20" s="352">
        <f t="shared" si="3"/>
        <v>0</v>
      </c>
      <c r="M20" s="352">
        <f t="shared" si="3"/>
        <v>0</v>
      </c>
      <c r="N20" s="352">
        <f t="shared" si="3"/>
        <v>0</v>
      </c>
      <c r="O20" s="352">
        <f t="shared" si="3"/>
        <v>0</v>
      </c>
      <c r="P20" s="352">
        <f t="shared" si="3"/>
        <v>0</v>
      </c>
      <c r="Q20" s="352">
        <f t="shared" si="3"/>
        <v>0</v>
      </c>
      <c r="R20" s="352">
        <f>SUM(R21:R32)</f>
        <v>12570</v>
      </c>
      <c r="S20" s="353"/>
      <c r="T20" s="354"/>
      <c r="Z20" s="356"/>
    </row>
    <row r="21" spans="1:26">
      <c r="A21" s="348">
        <v>1</v>
      </c>
      <c r="B21" s="357" t="s">
        <v>482</v>
      </c>
      <c r="C21" s="348" t="s">
        <v>150</v>
      </c>
      <c r="D21" s="358">
        <v>2200</v>
      </c>
      <c r="E21" s="343"/>
      <c r="F21" s="343"/>
      <c r="G21" s="343"/>
      <c r="H21" s="343"/>
      <c r="I21" s="343"/>
      <c r="J21" s="343"/>
      <c r="K21" s="343"/>
      <c r="L21" s="343"/>
      <c r="M21" s="343"/>
      <c r="N21" s="343"/>
      <c r="O21" s="343"/>
      <c r="P21" s="343"/>
      <c r="Q21" s="343"/>
      <c r="R21" s="344">
        <v>1000</v>
      </c>
    </row>
    <row r="22" spans="1:26">
      <c r="A22" s="348">
        <v>2</v>
      </c>
      <c r="B22" s="357" t="s">
        <v>483</v>
      </c>
      <c r="C22" s="348" t="s">
        <v>165</v>
      </c>
      <c r="D22" s="358">
        <v>2400</v>
      </c>
      <c r="E22" s="343"/>
      <c r="F22" s="343"/>
      <c r="G22" s="343"/>
      <c r="H22" s="343"/>
      <c r="I22" s="343"/>
      <c r="J22" s="343"/>
      <c r="K22" s="343"/>
      <c r="L22" s="343"/>
      <c r="M22" s="343"/>
      <c r="N22" s="343"/>
      <c r="O22" s="343"/>
      <c r="P22" s="343"/>
      <c r="Q22" s="343"/>
      <c r="R22" s="344">
        <v>1000</v>
      </c>
    </row>
    <row r="23" spans="1:26">
      <c r="A23" s="348">
        <v>3</v>
      </c>
      <c r="B23" s="357" t="s">
        <v>484</v>
      </c>
      <c r="C23" s="348" t="s">
        <v>157</v>
      </c>
      <c r="D23" s="358">
        <v>1700</v>
      </c>
      <c r="E23" s="343"/>
      <c r="F23" s="343"/>
      <c r="G23" s="343"/>
      <c r="H23" s="343"/>
      <c r="I23" s="343"/>
      <c r="J23" s="343"/>
      <c r="K23" s="343"/>
      <c r="L23" s="343"/>
      <c r="M23" s="343"/>
      <c r="N23" s="343"/>
      <c r="O23" s="343"/>
      <c r="P23" s="343"/>
      <c r="Q23" s="343"/>
      <c r="R23" s="344">
        <v>1000</v>
      </c>
    </row>
    <row r="24" spans="1:26">
      <c r="A24" s="348">
        <v>4</v>
      </c>
      <c r="B24" s="357" t="s">
        <v>485</v>
      </c>
      <c r="C24" s="348" t="s">
        <v>149</v>
      </c>
      <c r="D24" s="358">
        <v>1900</v>
      </c>
      <c r="E24" s="343"/>
      <c r="F24" s="343"/>
      <c r="G24" s="343"/>
      <c r="H24" s="343"/>
      <c r="I24" s="343"/>
      <c r="J24" s="343"/>
      <c r="K24" s="343"/>
      <c r="L24" s="343"/>
      <c r="M24" s="343"/>
      <c r="N24" s="343"/>
      <c r="O24" s="343"/>
      <c r="P24" s="343"/>
      <c r="Q24" s="343"/>
      <c r="R24" s="344">
        <v>1100</v>
      </c>
    </row>
    <row r="25" spans="1:26">
      <c r="A25" s="348">
        <v>5</v>
      </c>
      <c r="B25" s="357" t="s">
        <v>486</v>
      </c>
      <c r="C25" s="348" t="s">
        <v>152</v>
      </c>
      <c r="D25" s="358">
        <v>3200</v>
      </c>
      <c r="E25" s="343"/>
      <c r="F25" s="343"/>
      <c r="G25" s="343"/>
      <c r="H25" s="343"/>
      <c r="I25" s="343"/>
      <c r="J25" s="343"/>
      <c r="K25" s="343"/>
      <c r="L25" s="343"/>
      <c r="M25" s="343"/>
      <c r="N25" s="343"/>
      <c r="O25" s="343"/>
      <c r="P25" s="343"/>
      <c r="Q25" s="343"/>
      <c r="R25" s="344">
        <v>1400</v>
      </c>
    </row>
    <row r="26" spans="1:26">
      <c r="A26" s="348">
        <v>6</v>
      </c>
      <c r="B26" s="357" t="s">
        <v>487</v>
      </c>
      <c r="C26" s="348" t="s">
        <v>165</v>
      </c>
      <c r="D26" s="358">
        <v>2000</v>
      </c>
      <c r="E26" s="343"/>
      <c r="F26" s="343"/>
      <c r="G26" s="343"/>
      <c r="H26" s="343"/>
      <c r="I26" s="343"/>
      <c r="J26" s="343"/>
      <c r="K26" s="343"/>
      <c r="L26" s="343"/>
      <c r="M26" s="343"/>
      <c r="N26" s="343"/>
      <c r="O26" s="343"/>
      <c r="P26" s="343"/>
      <c r="Q26" s="343"/>
      <c r="R26" s="344">
        <v>1000</v>
      </c>
    </row>
    <row r="27" spans="1:26">
      <c r="A27" s="348">
        <v>7</v>
      </c>
      <c r="B27" s="357" t="s">
        <v>488</v>
      </c>
      <c r="C27" s="348" t="s">
        <v>165</v>
      </c>
      <c r="D27" s="358">
        <v>1600</v>
      </c>
      <c r="E27" s="343"/>
      <c r="F27" s="343"/>
      <c r="G27" s="343"/>
      <c r="H27" s="343"/>
      <c r="I27" s="343"/>
      <c r="J27" s="343"/>
      <c r="K27" s="343"/>
      <c r="L27" s="343"/>
      <c r="M27" s="343"/>
      <c r="N27" s="343"/>
      <c r="O27" s="343"/>
      <c r="P27" s="343"/>
      <c r="Q27" s="343"/>
      <c r="R27" s="344">
        <v>900</v>
      </c>
    </row>
    <row r="28" spans="1:26">
      <c r="A28" s="348">
        <v>8</v>
      </c>
      <c r="B28" s="357" t="s">
        <v>489</v>
      </c>
      <c r="C28" s="348" t="s">
        <v>149</v>
      </c>
      <c r="D28" s="358">
        <v>1600</v>
      </c>
      <c r="E28" s="343"/>
      <c r="F28" s="343"/>
      <c r="G28" s="343"/>
      <c r="H28" s="343"/>
      <c r="I28" s="343"/>
      <c r="J28" s="343"/>
      <c r="K28" s="343"/>
      <c r="L28" s="343"/>
      <c r="M28" s="343"/>
      <c r="N28" s="343"/>
      <c r="O28" s="343"/>
      <c r="P28" s="343"/>
      <c r="Q28" s="343"/>
      <c r="R28" s="344">
        <v>900</v>
      </c>
    </row>
    <row r="29" spans="1:26">
      <c r="A29" s="348">
        <v>9</v>
      </c>
      <c r="B29" s="357" t="s">
        <v>490</v>
      </c>
      <c r="C29" s="348" t="s">
        <v>166</v>
      </c>
      <c r="D29" s="358">
        <v>1500</v>
      </c>
      <c r="E29" s="343"/>
      <c r="F29" s="343"/>
      <c r="G29" s="343"/>
      <c r="H29" s="343"/>
      <c r="I29" s="343"/>
      <c r="J29" s="343"/>
      <c r="K29" s="343"/>
      <c r="L29" s="343"/>
      <c r="M29" s="343"/>
      <c r="N29" s="343"/>
      <c r="O29" s="343"/>
      <c r="P29" s="343"/>
      <c r="Q29" s="343"/>
      <c r="R29" s="344">
        <v>800</v>
      </c>
    </row>
    <row r="30" spans="1:26">
      <c r="A30" s="348">
        <v>10</v>
      </c>
      <c r="B30" s="357" t="s">
        <v>491</v>
      </c>
      <c r="C30" s="348" t="s">
        <v>155</v>
      </c>
      <c r="D30" s="358">
        <v>1800</v>
      </c>
      <c r="E30" s="343"/>
      <c r="F30" s="343"/>
      <c r="G30" s="343"/>
      <c r="H30" s="343"/>
      <c r="I30" s="343"/>
      <c r="J30" s="343"/>
      <c r="K30" s="343"/>
      <c r="L30" s="343"/>
      <c r="M30" s="343"/>
      <c r="N30" s="343"/>
      <c r="O30" s="343"/>
      <c r="P30" s="343"/>
      <c r="Q30" s="343"/>
      <c r="R30" s="344">
        <v>1100</v>
      </c>
    </row>
    <row r="31" spans="1:26">
      <c r="A31" s="348">
        <v>11</v>
      </c>
      <c r="B31" s="357" t="s">
        <v>492</v>
      </c>
      <c r="C31" s="348" t="s">
        <v>160</v>
      </c>
      <c r="D31" s="358">
        <v>2500</v>
      </c>
      <c r="E31" s="343"/>
      <c r="F31" s="343"/>
      <c r="G31" s="343"/>
      <c r="H31" s="343"/>
      <c r="I31" s="343"/>
      <c r="J31" s="343"/>
      <c r="K31" s="343"/>
      <c r="L31" s="343"/>
      <c r="M31" s="343"/>
      <c r="N31" s="343"/>
      <c r="O31" s="343"/>
      <c r="P31" s="343"/>
      <c r="Q31" s="343"/>
      <c r="R31" s="344">
        <v>1170</v>
      </c>
    </row>
    <row r="32" spans="1:26">
      <c r="A32" s="348">
        <v>12</v>
      </c>
      <c r="B32" s="357" t="s">
        <v>493</v>
      </c>
      <c r="C32" s="348" t="s">
        <v>494</v>
      </c>
      <c r="D32" s="358">
        <v>2600</v>
      </c>
      <c r="E32" s="343"/>
      <c r="F32" s="343"/>
      <c r="G32" s="343"/>
      <c r="H32" s="343"/>
      <c r="I32" s="343"/>
      <c r="J32" s="343"/>
      <c r="K32" s="343"/>
      <c r="L32" s="343"/>
      <c r="M32" s="343"/>
      <c r="N32" s="343"/>
      <c r="O32" s="343"/>
      <c r="P32" s="343"/>
      <c r="Q32" s="343"/>
      <c r="R32" s="344">
        <v>1200</v>
      </c>
    </row>
    <row r="33" spans="2:2">
      <c r="B33" s="347"/>
    </row>
    <row r="34" spans="2:2">
      <c r="B34" s="347"/>
    </row>
  </sheetData>
  <mergeCells count="13">
    <mergeCell ref="M6:Q6"/>
    <mergeCell ref="R6:R7"/>
    <mergeCell ref="S6:S7"/>
    <mergeCell ref="A3:S3"/>
    <mergeCell ref="A4:R4"/>
    <mergeCell ref="G5:S5"/>
    <mergeCell ref="A6:A7"/>
    <mergeCell ref="B6:B7"/>
    <mergeCell ref="C6:C7"/>
    <mergeCell ref="D6:D7"/>
    <mergeCell ref="E6:F6"/>
    <mergeCell ref="G6:G7"/>
    <mergeCell ref="H6:L6"/>
  </mergeCells>
  <pageMargins left="0.51181102362204722" right="0.31496062992125984" top="0.35433070866141736" bottom="0.35433070866141736" header="0.31496062992125984" footer="0.31496062992125984"/>
  <pageSetup paperSize="9"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XL4Test5</vt:lpstr>
      <vt:lpstr>Thu 2022</vt:lpstr>
      <vt:lpstr>Chi 2022</vt:lpstr>
      <vt:lpstr>Thu 2023</vt:lpstr>
      <vt:lpstr>Chi 2023</vt:lpstr>
      <vt:lpstr>Chi xã, TT 2023</vt:lpstr>
      <vt:lpstr>CHI TIẾT SN GD</vt:lpstr>
      <vt:lpstr>XD, SỬA CHỮA TRƯỜNG HỌC</vt:lpstr>
      <vt:lpstr>XL4Test5!_Builtin0</vt:lpstr>
      <vt:lpstr>XL4Test5!Bust</vt:lpstr>
      <vt:lpstr>XL4Test5!Continue</vt:lpstr>
      <vt:lpstr>XL4Test5!Documents_array</vt:lpstr>
      <vt:lpstr>XL4Test5!Hello</vt:lpstr>
      <vt:lpstr>'Chi 2023'!Print_Area</vt:lpstr>
      <vt:lpstr>'Chi xã, TT 2023'!Print_Area</vt:lpstr>
      <vt:lpstr>'Thu 2022'!Print_Area</vt:lpstr>
      <vt:lpstr>'Chi 2022'!Print_Titles</vt:lpstr>
      <vt:lpstr>'Chi 2023'!Print_Titles</vt:lpstr>
      <vt:lpstr>'CHI TIẾT SN GD'!Print_Titles</vt:lpstr>
      <vt:lpstr>'Thu 2023'!Print_Titles</vt:lpstr>
    </vt:vector>
  </TitlesOfParts>
  <Company>Doanh nghiep tu nhan T&amp;V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Cop.</dc:creator>
  <cp:lastModifiedBy>ins14-5406</cp:lastModifiedBy>
  <cp:lastPrinted>2022-12-06T09:15:05Z</cp:lastPrinted>
  <dcterms:created xsi:type="dcterms:W3CDTF">2008-10-28T01:28:18Z</dcterms:created>
  <dcterms:modified xsi:type="dcterms:W3CDTF">2022-12-06T09:28:54Z</dcterms:modified>
</cp:coreProperties>
</file>