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88" activeTab="0"/>
  </bookViews>
  <sheets>
    <sheet name="PL15" sheetId="1" r:id="rId1"/>
    <sheet name="PL16" sheetId="2" r:id="rId2"/>
    <sheet name="PL17" sheetId="3" r:id="rId3"/>
    <sheet name="PL30" sheetId="4" r:id="rId4"/>
    <sheet name="PL31-NSX" sheetId="5" r:id="rId5"/>
    <sheet name="PL32-NSX" sheetId="6" r:id="rId6"/>
    <sheet name="PL33" sheetId="7" r:id="rId7"/>
    <sheet name="PL34" sheetId="8" r:id="rId8"/>
    <sheet name="PL35" sheetId="9" r:id="rId9"/>
    <sheet name="PL36" sheetId="10" r:id="rId10"/>
    <sheet name="PL37" sheetId="11" r:id="rId11"/>
    <sheet name="PL38" sheetId="12" r:id="rId12"/>
    <sheet name="PL39-NSX" sheetId="13" r:id="rId13"/>
    <sheet name="PL41-NSX" sheetId="14" r:id="rId14"/>
    <sheet name="PL42-NSX" sheetId="15" r:id="rId15"/>
    <sheet name="PL44-NSX" sheetId="16" r:id="rId16"/>
    <sheet name="PL45-Quỹ" sheetId="17" r:id="rId17"/>
    <sheet name="PL47-Thu SN" sheetId="18" r:id="rId18"/>
  </sheets>
  <externalReferences>
    <externalReference r:id="rId21"/>
    <externalReference r:id="rId22"/>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 localSheetId="2">'[2]Dt 2001'!#REF!</definedName>
    <definedName name="ANQQH" localSheetId="10">'[2]Dt 2001'!#REF!</definedName>
    <definedName name="ANQQH">'[2]Dt 2001'!#REF!</definedName>
    <definedName name="ANSNN" localSheetId="0">'[2]Dt 2001'!#REF!</definedName>
    <definedName name="ANSNN" localSheetId="2">'[2]Dt 2001'!#REF!</definedName>
    <definedName name="ANSNN" localSheetId="10">'[2]Dt 2001'!#REF!</definedName>
    <definedName name="ANSNN">'[2]Dt 2001'!#REF!</definedName>
    <definedName name="ANSNNxnk" localSheetId="0">'[2]Dt 2001'!#REF!</definedName>
    <definedName name="ANSNNxnk" localSheetId="2">'[2]Dt 2001'!#REF!</definedName>
    <definedName name="ANSNNxnk" localSheetId="10">'[2]Dt 2001'!#REF!</definedName>
    <definedName name="ANSNNxnk">'[2]Dt 2001'!#REF!</definedName>
    <definedName name="Anguon" localSheetId="0">'[2]Dt 2001'!#REF!</definedName>
    <definedName name="Anguon" localSheetId="2">'[2]Dt 2001'!#REF!</definedName>
    <definedName name="Anguon" localSheetId="10">'[2]Dt 2001'!#REF!</definedName>
    <definedName name="Anguon">'[2]Dt 2001'!#REF!</definedName>
    <definedName name="APC" localSheetId="0">'[2]Dt 2001'!#REF!</definedName>
    <definedName name="APC" localSheetId="2">'[2]Dt 2001'!#REF!</definedName>
    <definedName name="APC" localSheetId="10">'[2]Dt 2001'!#REF!</definedName>
    <definedName name="APC">'[2]Dt 2001'!#REF!</definedName>
    <definedName name="ATW">#REF!</definedName>
    <definedName name="Can_doi">#REF!</definedName>
    <definedName name="chuong_phuluc_31" localSheetId="4">'PL31-NSX'!$N$1</definedName>
    <definedName name="chuong_phuluc_31_name" localSheetId="4">'PL31-NSX'!$A$2</definedName>
    <definedName name="chuong_phuluc_43" localSheetId="15">'PL44-NSX'!$A$1</definedName>
    <definedName name="chuong_phuluc_43_name" localSheetId="15">'PL44-NSX'!$A$3</definedName>
    <definedName name="chuong_phuluc_44" localSheetId="15">'PL44-NSX'!$A$1</definedName>
    <definedName name="chuong_phuluc_44_name" localSheetId="15">'PL44-NSX'!$A$2</definedName>
    <definedName name="chuong_phuluc_44_name_name" localSheetId="15">'PL44-NSX'!$A$3</definedName>
    <definedName name="DNNN">#REF!</definedName>
    <definedName name="Khac">#REF!</definedName>
    <definedName name="Khong_can_doi">#REF!</definedName>
    <definedName name="NQD">#REF!</definedName>
    <definedName name="NQQH" localSheetId="0">'[2]Dt 2001'!#REF!</definedName>
    <definedName name="NQQH" localSheetId="2">'[2]Dt 2001'!#REF!</definedName>
    <definedName name="NQQH" localSheetId="10">'[2]Dt 2001'!#REF!</definedName>
    <definedName name="NQQH">'[2]Dt 2001'!#REF!</definedName>
    <definedName name="NSNN" localSheetId="0">'[2]Dt 2001'!#REF!</definedName>
    <definedName name="NSNN" localSheetId="2">'[2]Dt 2001'!#REF!</definedName>
    <definedName name="NSNN" localSheetId="10">'[2]Dt 2001'!#REF!</definedName>
    <definedName name="NSNN">'[2]Dt 2001'!#REF!</definedName>
    <definedName name="PC" localSheetId="0">'[2]Dt 2001'!#REF!</definedName>
    <definedName name="PC" localSheetId="2">'[2]Dt 2001'!#REF!</definedName>
    <definedName name="PC" localSheetId="10">'[2]Dt 2001'!#REF!</definedName>
    <definedName name="PC">'[2]Dt 2001'!#REF!</definedName>
    <definedName name="_xlnm.Print_Area" localSheetId="0">'PL15'!$A$1:$G$30</definedName>
    <definedName name="_xlnm.Print_Area" localSheetId="1">'PL16'!$A$1:$H$37</definedName>
    <definedName name="_xlnm.Print_Area" localSheetId="2">'PL17'!$A$1:$F$53</definedName>
    <definedName name="_xlnm.Print_Area" localSheetId="3">'PL30'!$A$1:$G$38</definedName>
    <definedName name="_xlnm.Print_Area" localSheetId="5">'PL32-NSX'!$A$1:$J$28</definedName>
    <definedName name="_xlnm.Print_Area" localSheetId="6">'PL33'!$A$1:$E$53</definedName>
    <definedName name="_xlnm.Print_Area" localSheetId="7">'PL34'!$A$1:$C$58</definedName>
    <definedName name="_xlnm.Print_Area" localSheetId="8">'PL35'!$A$1:$N$41</definedName>
    <definedName name="_xlnm.Print_Area" localSheetId="9">'PL36'!$A$1:$S$21</definedName>
    <definedName name="_xlnm.Print_Area" localSheetId="10">'PL37'!$A$1:$S$50</definedName>
    <definedName name="_xlnm.Print_Area" localSheetId="11">'PL38'!$A$1:$Z$45</definedName>
    <definedName name="_xlnm.Print_Area" localSheetId="12">'PL39-NSX'!$A$1:$K$31</definedName>
    <definedName name="_xlnm.Print_Area" localSheetId="13">'PL41-NSX'!$A$1:$T$36</definedName>
    <definedName name="_xlnm.Print_Area" localSheetId="14">'PL42-NSX'!$A$1:$F$29</definedName>
    <definedName name="_xlnm.Print_Area" localSheetId="15">'PL44-NSX'!$A$1:$Q$27</definedName>
    <definedName name="_xlnm.Print_Area" localSheetId="16">'PL45-Quỹ'!$A$1:$M$17</definedName>
    <definedName name="_xlnm.Print_Area" localSheetId="17">'PL47-Thu SN'!$A$1:$E$15</definedName>
    <definedName name="PRINT_AREA_MI" localSheetId="0">#REF!</definedName>
    <definedName name="PRINT_AREA_MI" localSheetId="2">#REF!</definedName>
    <definedName name="PRINT_AREA_MI" localSheetId="10">#REF!</definedName>
    <definedName name="PRINT_AREA_MI">#REF!</definedName>
    <definedName name="_xlnm.Print_Titles" localSheetId="0">'PL15'!$5:$7</definedName>
    <definedName name="_xlnm.Print_Titles" localSheetId="2">'PL17'!$5:$7</definedName>
    <definedName name="_xlnm.Print_Titles" localSheetId="3">'PL30'!$7:$9</definedName>
    <definedName name="_xlnm.Print_Titles" localSheetId="6">'PL33'!$6:$10</definedName>
    <definedName name="_xlnm.Print_Titles" localSheetId="8">'PL35'!$5:$8</definedName>
    <definedName name="_xlnm.Print_Titles" localSheetId="10">'PL37'!$6:$9</definedName>
    <definedName name="_xlnm.Print_Titles" localSheetId="11">'PL38'!$8:$12</definedName>
    <definedName name="Phan_cap">#REF!</definedName>
    <definedName name="Phi_le_phi">#REF!</definedName>
    <definedName name="TW">#REF!</definedName>
  </definedNames>
  <calcPr fullCalcOnLoad="1"/>
</workbook>
</file>

<file path=xl/comments10.xml><?xml version="1.0" encoding="utf-8"?>
<comments xmlns="http://schemas.openxmlformats.org/spreadsheetml/2006/main">
  <authors>
    <author>MAY TINH DAT HONG</author>
  </authors>
  <commentList>
    <comment ref="N18" authorId="0">
      <text>
        <r>
          <rPr>
            <b/>
            <sz val="9"/>
            <rFont val="Tahoma"/>
            <family val="0"/>
          </rPr>
          <t>tạm đưa vào Ban QLDA hết KHV và SNGT vì sở Kế hoạch chưa có số liệu chính xác</t>
        </r>
      </text>
    </comment>
  </commentList>
</comments>
</file>

<file path=xl/comments11.xml><?xml version="1.0" encoding="utf-8"?>
<comments xmlns="http://schemas.openxmlformats.org/spreadsheetml/2006/main">
  <authors>
    <author>Nguyen</author>
  </authors>
  <commentList>
    <comment ref="U11" authorId="0">
      <text>
        <r>
          <rPr>
            <sz val="9"/>
            <rFont val="Tahoma"/>
            <family val="2"/>
          </rPr>
          <t xml:space="preserve">số dự phòng NS cấp huyện
</t>
        </r>
      </text>
    </comment>
  </commentList>
</comments>
</file>

<file path=xl/comments12.xml><?xml version="1.0" encoding="utf-8"?>
<comments xmlns="http://schemas.openxmlformats.org/spreadsheetml/2006/main">
  <authors>
    <author>MAY TINH DAT HONG</author>
  </authors>
  <commentList>
    <comment ref="H25" authorId="0">
      <text>
        <r>
          <rPr>
            <b/>
            <sz val="9"/>
            <rFont val="Tahoma"/>
            <family val="2"/>
          </rPr>
          <t>tạm để ban QLDA vì Sở KH chưa có số liệu chính xác</t>
        </r>
        <r>
          <rPr>
            <sz val="9"/>
            <rFont val="Tahoma"/>
            <family val="2"/>
          </rPr>
          <t xml:space="preserve">
</t>
        </r>
      </text>
    </comment>
  </commentList>
</comments>
</file>

<file path=xl/comments2.xml><?xml version="1.0" encoding="utf-8"?>
<comments xmlns="http://schemas.openxmlformats.org/spreadsheetml/2006/main">
  <authors>
    <author>hp</author>
  </authors>
  <commentList>
    <comment ref="E31" authorId="0">
      <text>
        <r>
          <rPr>
            <b/>
            <sz val="9"/>
            <rFont val="Tahoma"/>
            <family val="2"/>
          </rPr>
          <t>hp:</t>
        </r>
        <r>
          <rPr>
            <sz val="9"/>
            <rFont val="Tahoma"/>
            <family val="2"/>
          </rPr>
          <t xml:space="preserve">
29/11/2023: Tăng thu tiền sử dụng đất 12 tỷ lên 14 tỷ</t>
        </r>
      </text>
    </comment>
    <comment ref="F31" authorId="0">
      <text>
        <r>
          <rPr>
            <b/>
            <sz val="9"/>
            <rFont val="Tahoma"/>
            <family val="2"/>
          </rPr>
          <t>hp:</t>
        </r>
        <r>
          <rPr>
            <sz val="9"/>
            <rFont val="Tahoma"/>
            <family val="2"/>
          </rPr>
          <t xml:space="preserve">
29/11/2023: Tăng thu tiền sử dụng đất 12 tỷ lên 14 tỷ</t>
        </r>
      </text>
    </comment>
  </commentList>
</comments>
</file>

<file path=xl/sharedStrings.xml><?xml version="1.0" encoding="utf-8"?>
<sst xmlns="http://schemas.openxmlformats.org/spreadsheetml/2006/main" count="948" uniqueCount="390">
  <si>
    <t>Nguồn thu ngân sách</t>
  </si>
  <si>
    <t>Chi bổ sung cân đối ngân sách</t>
  </si>
  <si>
    <t>Nguồn  thu ngân sách</t>
  </si>
  <si>
    <t xml:space="preserve">Thu từ khu vực kinh tế ngoài quốc doanh </t>
  </si>
  <si>
    <t xml:space="preserve">Thu </t>
  </si>
  <si>
    <t>NSNN</t>
  </si>
  <si>
    <t>Nội dung</t>
  </si>
  <si>
    <t>Dự toán</t>
  </si>
  <si>
    <t>Tổng thu</t>
  </si>
  <si>
    <t>NSĐP</t>
  </si>
  <si>
    <t>A</t>
  </si>
  <si>
    <t>B</t>
  </si>
  <si>
    <t>Thu nội địa</t>
  </si>
  <si>
    <t>Lệ phí trước bạ</t>
  </si>
  <si>
    <t>Thuế sử dụng đất phi nông nghiệp</t>
  </si>
  <si>
    <t>Thuế thu nhập cá nhân</t>
  </si>
  <si>
    <t xml:space="preserve">Thu phí, lệ phí </t>
  </si>
  <si>
    <t>-</t>
  </si>
  <si>
    <t>Thu tiền sử dụng đất</t>
  </si>
  <si>
    <t>Thu khác ngân sách</t>
  </si>
  <si>
    <t>I</t>
  </si>
  <si>
    <t>II</t>
  </si>
  <si>
    <t>III</t>
  </si>
  <si>
    <t>IV</t>
  </si>
  <si>
    <t>Chi đầu tư phát triển</t>
  </si>
  <si>
    <t>Chi đầu tư từ nguồn thu tiền sử dụng đất</t>
  </si>
  <si>
    <t>Chi thường xuyên</t>
  </si>
  <si>
    <t>Chi đảm bảo xã hội</t>
  </si>
  <si>
    <t>Chi bổ sung quỹ dự trữ tài chính</t>
  </si>
  <si>
    <t>Dự phòng ngân sách</t>
  </si>
  <si>
    <t>TỔNG SỐ</t>
  </si>
  <si>
    <t>Tên đơn vị</t>
  </si>
  <si>
    <t>Trong đó</t>
  </si>
  <si>
    <t>Tiền cho thuê đất, thuê mặt nước</t>
  </si>
  <si>
    <t>Sự nghiệp khoa học và công nghệ</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</si>
  <si>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</si>
  <si>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</si>
  <si>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</si>
  <si>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</si>
  <si>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</si>
  <si>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</si>
  <si>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</si>
  <si>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khoản chi khác theo quy định của pháp luật</t>
  </si>
  <si>
    <t xml:space="preserve">Chi đầu tư phát triển </t>
  </si>
  <si>
    <t>Thu kết dư</t>
  </si>
  <si>
    <t>Tổng chi cân đối ngân sách địa phương</t>
  </si>
  <si>
    <t>Thu bổ sung từ ngân sách cấp trên</t>
  </si>
  <si>
    <t>Bao gồm</t>
  </si>
  <si>
    <t>1=2+3</t>
  </si>
  <si>
    <t xml:space="preserve"> Chi khoa học và công nghệ</t>
  </si>
  <si>
    <t>Chi ngân sách</t>
  </si>
  <si>
    <t>Thu ngân sách được hưởng theo phân cấp</t>
  </si>
  <si>
    <t>Chia ra</t>
  </si>
  <si>
    <t>Tổng    số</t>
  </si>
  <si>
    <t>Tổng thu NSNN trên địa bàn</t>
  </si>
  <si>
    <t>Thu NSĐP được hưởng theo phân cấp</t>
  </si>
  <si>
    <t>Thu NSĐP hưởng 100%</t>
  </si>
  <si>
    <t>Số bổ sung cân đối từ ngân sách cấp trên</t>
  </si>
  <si>
    <t>Tổng chi cân đối NSĐP</t>
  </si>
  <si>
    <t xml:space="preserve">DỰ TOÁN THU NGÂN SÁCH NHÀ NƯỚC TRÊN ĐỊA BÀN </t>
  </si>
  <si>
    <t>STT</t>
  </si>
  <si>
    <t>So sánh</t>
  </si>
  <si>
    <t>Chi chương trình mục tiêu</t>
  </si>
  <si>
    <t>5=3/1</t>
  </si>
  <si>
    <t>6=4/2</t>
  </si>
  <si>
    <t xml:space="preserve"> Chi giáo dục - đào tạo và dạy nghề</t>
  </si>
  <si>
    <t>Chi chuyển nguồn sang năm sau</t>
  </si>
  <si>
    <t>Thu phân chia</t>
  </si>
  <si>
    <t>Tổng  số</t>
  </si>
  <si>
    <t>Vốn  trong  nước</t>
  </si>
  <si>
    <t>Vốn  ngoài  nước</t>
  </si>
  <si>
    <t>8=9+10</t>
  </si>
  <si>
    <t>Thu chuyển nguồn từ năm trước chuyển sang</t>
  </si>
  <si>
    <t>Thu từ quỹ đất công ích, hoa lợi công sản khác</t>
  </si>
  <si>
    <t>Chi đầu tư cho các dự án</t>
  </si>
  <si>
    <t>Chi tạo nguồn, điều chỉnh tiền lương</t>
  </si>
  <si>
    <t>Chi bổ sung cho ngân sách cấp dưới</t>
  </si>
  <si>
    <t>Thu bổ sung cân đối ngân sách</t>
  </si>
  <si>
    <t>Số bổ sung thực hiện cải cách tiền lương</t>
  </si>
  <si>
    <t>Tổng số</t>
  </si>
  <si>
    <t>2=5+12</t>
  </si>
  <si>
    <t>3=8+15</t>
  </si>
  <si>
    <t>4=5+8</t>
  </si>
  <si>
    <t>5=6+7</t>
  </si>
  <si>
    <t>11=12+15</t>
  </si>
  <si>
    <t>12=13+14</t>
  </si>
  <si>
    <t>15=16+17</t>
  </si>
  <si>
    <t>Chi khoa học và công nghệ</t>
  </si>
  <si>
    <t>Thu bổ sung có mục tiêu</t>
  </si>
  <si>
    <t>Chi bổ sung có mục tiêu</t>
  </si>
  <si>
    <t>Đơn vị: Triệu đồng</t>
  </si>
  <si>
    <t>Tuyệt đối</t>
  </si>
  <si>
    <t>3=2-1</t>
  </si>
  <si>
    <t>4=2/1</t>
  </si>
  <si>
    <t>So sánh (%)</t>
  </si>
  <si>
    <t>Thu từ quỹ dự trữ tài chính</t>
  </si>
  <si>
    <t xml:space="preserve">Chi dự phòng ngân sách </t>
  </si>
  <si>
    <t>Chi chuyển nguồn sang ngân sách năm sau</t>
  </si>
  <si>
    <t>Chi giáo dục, đào tạo và dạy nghề</t>
  </si>
  <si>
    <t>Bổ sung có mục tiêu</t>
  </si>
  <si>
    <t>1 = 2+3+4</t>
  </si>
  <si>
    <t>TỔNG CHI NSĐP</t>
  </si>
  <si>
    <t>TỔNG NGUỒN THU NSĐP</t>
  </si>
  <si>
    <t>Chi các chương trình mục tiêu</t>
  </si>
  <si>
    <t>Chi các chương trình mục tiêu quốc gia</t>
  </si>
  <si>
    <t>TỔNG THU NSNN</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</si>
  <si>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</si>
  <si>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</si>
  <si>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</si>
  <si>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</si>
  <si>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</si>
  <si>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</si>
  <si>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</si>
  <si>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</si>
  <si>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</si>
  <si>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</si>
  <si>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</si>
  <si>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</si>
  <si>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</si>
  <si>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chương trình MTQG</t>
  </si>
  <si>
    <t>CÁC CƠ QUAN, TỔ CHỨC</t>
  </si>
  <si>
    <t>CHI CHUYỂN NGUỒN SANG NGÂN SÁCH NĂM SAU</t>
  </si>
  <si>
    <t>Chi giao thông</t>
  </si>
  <si>
    <t>Chi nông nghiệp, lâm nghiệp, thủy lợi, thủy sản</t>
  </si>
  <si>
    <t>Chi đầu tư từ nguồn vốn trong nước</t>
  </si>
  <si>
    <t xml:space="preserve">TỔNG CHI NSĐP </t>
  </si>
  <si>
    <t>CHI DỰ PHÒNG NGÂN SÁCH</t>
  </si>
  <si>
    <t>CHI TẠO NGUỒN, ĐIỀU CHỈNH TIỀN LƯƠNG</t>
  </si>
  <si>
    <t>Trong đó: Phần NSĐP được hưởng</t>
  </si>
  <si>
    <t>2=3+5</t>
  </si>
  <si>
    <t xml:space="preserve">DỰ TOÁN THU, CHI NGÂN SÁCH ĐỊA PHƯƠNG VÀ SỐ BỔ SUNG CÂN ĐỐI </t>
  </si>
  <si>
    <t>Bổ sung vốn đầu tư để thực hiện các chương trình mục tiêu, nhiệm vụ</t>
  </si>
  <si>
    <t>Bổ sung thực hiện các chương trình mục tiêu quốc gia</t>
  </si>
  <si>
    <t>3=6+7+8</t>
  </si>
  <si>
    <t>2=3+9+12+13+14</t>
  </si>
  <si>
    <t>15=16+17+18</t>
  </si>
  <si>
    <t>Đầu tư phát triển</t>
  </si>
  <si>
    <t>Kinh phí sự nghiệp</t>
  </si>
  <si>
    <t>Thu NSĐP hưởng từ các khoản thu phân chia</t>
  </si>
  <si>
    <t>Chi đầu tư phát triển khác</t>
  </si>
  <si>
    <t>Trong đó: Chia theo lĩnh vực</t>
  </si>
  <si>
    <t>Trong đó: Chia theo nguồn vốn</t>
  </si>
  <si>
    <t>Tương đối (%)</t>
  </si>
  <si>
    <t>CÂN ĐỐI NGUỒN THU, CHI DỰ TOÁN NGÂN SÁCH CẤP HUYỆN</t>
  </si>
  <si>
    <t>NGÂN SÁCH CẤP HUYỆN</t>
  </si>
  <si>
    <t>Chi thuộc nhiệm vụ của ngân sách cấp huyện</t>
  </si>
  <si>
    <t>NGÂN SÁCH XÃ</t>
  </si>
  <si>
    <t>Chi thuộc nhiệm vụ của ngân sách cấp xã</t>
  </si>
  <si>
    <t>I- Thu nội địa</t>
  </si>
  <si>
    <t>DỰ TOÁN CHI NGÂN SÁCH ĐỊA PHƯƠNG, CHI NGÂN SÁCH CẤP HUYỆN</t>
  </si>
  <si>
    <t>DỰ TOÁN CHI ĐẦU TƯ PHÁT TRIỂN CỦA NGÂN SÁCH CẤP HUYỆN</t>
  </si>
  <si>
    <t>DỰ TOÁN CHI THƯỜNG XUYÊN CỦA NGÂN SÁCH CẤP HUYỆN</t>
  </si>
  <si>
    <t>Ngân sách cấp huyện</t>
  </si>
  <si>
    <t>Ngân sách xã</t>
  </si>
  <si>
    <t>DỰ TOÁN BỔ SUNG CÓ MỤC TIÊU TỪ NGÂN SÁCH CẤP HUYỆN</t>
  </si>
  <si>
    <t>Chương trình mục tiêu quốc gia giảm nghèo bền vững</t>
  </si>
  <si>
    <t>Chương trình mục tiêu quốc gia XD nông thôn mới</t>
  </si>
  <si>
    <t xml:space="preserve">Tên đơn vị         </t>
  </si>
  <si>
    <t>Phòng Văn hóa-TT</t>
  </si>
  <si>
    <t>Văn phòng HĐND-UBND</t>
  </si>
  <si>
    <t>Huyện ủy</t>
  </si>
  <si>
    <t>Khối đoàn thể</t>
  </si>
  <si>
    <t>Phòng Nông nghiệp</t>
  </si>
  <si>
    <t>Phòng Tài chính-KH</t>
  </si>
  <si>
    <t>Phòng Tài nguyên MT</t>
  </si>
  <si>
    <t>Thanh tra</t>
  </si>
  <si>
    <t>Phòng Tư pháp</t>
  </si>
  <si>
    <t>Phòng Kinh tế và Hạ tầng</t>
  </si>
  <si>
    <t>Phòng Y tế</t>
  </si>
  <si>
    <t>Phòng Nội vụ</t>
  </si>
  <si>
    <t>Phòng LĐTBXH</t>
  </si>
  <si>
    <t>Phòng Dân tộc</t>
  </si>
  <si>
    <t>Phòng Giáo dục</t>
  </si>
  <si>
    <t>Nhà khách</t>
  </si>
  <si>
    <t>Công an huyện</t>
  </si>
  <si>
    <t>Ban chỉ huy QS huyện</t>
  </si>
  <si>
    <t>Ban quản lý dự án</t>
  </si>
  <si>
    <t>Các khoản chi từ ngân sách</t>
  </si>
  <si>
    <t>Chi thực hiện 1 số mục tiêu, nhiệm vụ khác</t>
  </si>
  <si>
    <t>Một số mục tiêu NV khác</t>
  </si>
  <si>
    <t>Biểu số 38 - NĐ 31/2017/NĐ-CP</t>
  </si>
  <si>
    <t>Biểu số 39 - NĐ 31/2017/NĐ-CP</t>
  </si>
  <si>
    <t>Biểu số 37 - NĐ 31/2017/NĐ-CP</t>
  </si>
  <si>
    <t>Biểu số 36 - NĐ 31/2017/NĐ-CP</t>
  </si>
  <si>
    <t>Biểu số 35 - NĐ 31/2017/NĐ-CP</t>
  </si>
  <si>
    <t>Biểu số 34 - NĐ 31/2017/NĐ-CP</t>
  </si>
  <si>
    <t>Biểu số 33 - NĐ 31/2017/NĐ-CP</t>
  </si>
  <si>
    <t>Biểu số 32 - NĐ 31/2017/NĐ-CP</t>
  </si>
  <si>
    <t>Biểu số 30 - NĐ 31/2017/NĐ-CP</t>
  </si>
  <si>
    <t xml:space="preserve">CHI BS CHO NGÂN SÁCH CẤP DƯỚI </t>
  </si>
  <si>
    <t xml:space="preserve">CHI BỔ SUNG CHO NGÂN SÁCH CẤP DƯỚI </t>
  </si>
  <si>
    <t>Bổ sung cân đối</t>
  </si>
  <si>
    <t>Chương trình giảm nghèo bền vững</t>
  </si>
  <si>
    <t>Chương trình xây dựng nông thôn mới</t>
  </si>
  <si>
    <t>Vốn đầu tư</t>
  </si>
  <si>
    <t>Vốn sự nghiệp</t>
  </si>
  <si>
    <t>Kinh phí thực hiện đảm bảo trật tự ATGT</t>
  </si>
  <si>
    <t>Hoạt động của các cơ quan quản lý hành chính, tổ chức chính trị</t>
  </si>
  <si>
    <t>Thuế giá trị gia tăng</t>
  </si>
  <si>
    <t>Thuế thu nhập doanh nghiệp</t>
  </si>
  <si>
    <t>Thuế tài nguyên</t>
  </si>
  <si>
    <t>Chi các chương trình mục tiêu, nhiệm vụ khác</t>
  </si>
  <si>
    <t>Chương trình MT phát triển lâm nghiệp bền vững</t>
  </si>
  <si>
    <t>Biểu số 17 - NĐ 31/2017/NĐ-CP</t>
  </si>
  <si>
    <t>Biểu số 16 - NĐ 31/2017/NĐ-CP</t>
  </si>
  <si>
    <t>Thị trấn TG</t>
  </si>
  <si>
    <t xml:space="preserve">1. Lệ phí trước bạ </t>
  </si>
  <si>
    <t>2.Thuế sử dụng đất phi nông nghiệp</t>
  </si>
  <si>
    <t>3. Phí và lệ phí</t>
  </si>
  <si>
    <t>4.Thu từ tiền sử dụng đất</t>
  </si>
  <si>
    <t>5.Thu khác ngân sách</t>
  </si>
  <si>
    <t>6. Thu từ quỹ đất công ích và đất công</t>
  </si>
  <si>
    <t>Biểu số 41 - NĐ 31/2017/NĐ-CP</t>
  </si>
  <si>
    <t>Biểu số 42 - NĐ 31/2017/NĐ-CP</t>
  </si>
  <si>
    <t xml:space="preserve">So sánh </t>
  </si>
  <si>
    <t>Biểu số 15 - NĐ 31/2017/NĐ-CP</t>
  </si>
  <si>
    <t>Sự nghiệp kinh tế</t>
  </si>
  <si>
    <t>Trung tâm GDNN-GDTX</t>
  </si>
  <si>
    <t>Chi nộp trả ngân sách cấp trên</t>
  </si>
  <si>
    <t>Thu ngân sách trung ương, tỉnh hưởng</t>
  </si>
  <si>
    <t>Tổng chi ngân sách địa phương</t>
  </si>
  <si>
    <t>Bổ sung để thực hiện CCTL</t>
  </si>
  <si>
    <t>Trung tâm dịch vụ nông nghiệp</t>
  </si>
  <si>
    <t>Trung tâm quản lý đất đai</t>
  </si>
  <si>
    <t>Trung tâm văn hóa - TT - TH</t>
  </si>
  <si>
    <t>ĐT</t>
  </si>
  <si>
    <t>SN</t>
  </si>
  <si>
    <t>7=2+6</t>
  </si>
  <si>
    <t>Bổ sung vốn sự nghiệp thực hiện các chương trình mục tiêu, nhiệm vụ</t>
  </si>
  <si>
    <t>Sự nghiệp Giáo dục - Đào tạo và dạy nghề</t>
  </si>
  <si>
    <t>1=2+15</t>
  </si>
  <si>
    <t>Ngân sách địa phương</t>
  </si>
  <si>
    <t>Tổng số</t>
  </si>
  <si>
    <t>Thu từ dầu thô</t>
  </si>
  <si>
    <t>Thu từ hoạt động XNK</t>
  </si>
  <si>
    <t>Thu từ dầu thô</t>
  </si>
  <si>
    <t>Thu từ hoạt động XNK</t>
  </si>
  <si>
    <t>9=5/1</t>
  </si>
  <si>
    <t>10=6/2</t>
  </si>
  <si>
    <t>11=7/3</t>
  </si>
  <si>
    <t>12=8/4</t>
  </si>
  <si>
    <t>Biểu số 31 - NĐ 31/2017/NĐ-CP</t>
  </si>
  <si>
    <t xml:space="preserve">               (2) Thu NSNN trên địa bàn huyện, xã không có thu từ dầu thô, thu từ hoạt động xuất, nhập khẩu. Các chỉ tiêu cột 3, 4, 7, 8 chỉ ghi dòng tổng số.</t>
  </si>
  <si>
    <t>Tên đơn vị</t>
  </si>
  <si>
    <t>Tên đơn vị (1)</t>
  </si>
  <si>
    <t>Vốn trong nước</t>
  </si>
  <si>
    <t>Vốn ngoài nước</t>
  </si>
  <si>
    <t>4=5+6</t>
  </si>
  <si>
    <t>7=8+9</t>
  </si>
  <si>
    <t>Biểu số 44 - NĐ 31/2017/NĐ-CP</t>
  </si>
  <si>
    <t>Đơn vị: triệu đồng</t>
  </si>
  <si>
    <t>Tên Quỹ</t>
  </si>
  <si>
    <t>Tổng nguồn vốn phát sinh trong năm</t>
  </si>
  <si>
    <t>Tổng sử dụng nguồn vốn trong năm</t>
  </si>
  <si>
    <t>Số dư nguồn đến ngày 31/12/
2023</t>
  </si>
  <si>
    <t>Trong đó: Hỗ trợ từ NSĐP</t>
  </si>
  <si>
    <t>Cộng</t>
  </si>
  <si>
    <t>Quỹ khuyến học</t>
  </si>
  <si>
    <t>Quỹ phòng chống thiên tai</t>
  </si>
  <si>
    <t>Quỹ Đền ơn đáp nghĩa</t>
  </si>
  <si>
    <t>Quỹ Bảo trợ trẻ em</t>
  </si>
  <si>
    <t>Quỹ vì người nghèo</t>
  </si>
  <si>
    <t>Quỹ hỗ trợ nông dân</t>
  </si>
  <si>
    <t xml:space="preserve">Quỹ cứu trợ </t>
  </si>
  <si>
    <t>Chênh lệch nguồn trong năm</t>
  </si>
  <si>
    <t>5=2-4</t>
  </si>
  <si>
    <t>6=1+2-4</t>
  </si>
  <si>
    <t>10=7-9</t>
  </si>
  <si>
    <t>11=6+7-9</t>
  </si>
  <si>
    <t>Biểu số 45 - NĐ 31/2017/NĐ-CP</t>
  </si>
  <si>
    <t>Đơn vị: Triệu đồng</t>
  </si>
  <si>
    <t>Sự nghiệp đào tạo và dạy nghề</t>
  </si>
  <si>
    <t>Trung tâm văn hóa - truyền thanh - truyền hình</t>
  </si>
  <si>
    <t>Sự nghiệp phát thanh truyền hình</t>
  </si>
  <si>
    <t>Nhà khách HĐND-UBND</t>
  </si>
  <si>
    <t>Biểu số 47 - NĐ 31/2017/NĐ-CP</t>
  </si>
  <si>
    <t>3=2/1</t>
  </si>
  <si>
    <t>Dự toán năm 2023</t>
  </si>
  <si>
    <t>Thu từ kinh tế quốc doanh</t>
  </si>
  <si>
    <t>Thuế GTGT</t>
  </si>
  <si>
    <t>Thu tiền cấp quyền khai thác khoáng sản, tài nguyên nước</t>
  </si>
  <si>
    <t xml:space="preserve"> - Cơ quan Trung ương cấp phép</t>
  </si>
  <si>
    <t xml:space="preserve"> Trong đó: + Trung ương hưởng (70%)</t>
  </si>
  <si>
    <t xml:space="preserve">                  + Địa phương hưởng (30%)</t>
  </si>
  <si>
    <t xml:space="preserve"> - Cơ quan địa phương cấp phép</t>
  </si>
  <si>
    <t>Xã Quài Tở</t>
  </si>
  <si>
    <t>Xã Mường Thín</t>
  </si>
  <si>
    <t>Xã Chiềng Sinh</t>
  </si>
  <si>
    <t>Xã Quài Cang</t>
  </si>
  <si>
    <t>Xã Mùn Chung</t>
  </si>
  <si>
    <t>Xã Mường Mùn</t>
  </si>
  <si>
    <t>Xã Phình Sáng</t>
  </si>
  <si>
    <t>Xã Chiềng Đông</t>
  </si>
  <si>
    <t>Xã Mường Khong</t>
  </si>
  <si>
    <t>Xã Rạng Đông</t>
  </si>
  <si>
    <t>Xã Nà Tòng</t>
  </si>
  <si>
    <t>Xã Ta Ma</t>
  </si>
  <si>
    <t>Xã Tỏa Tình</t>
  </si>
  <si>
    <t>Xã Pú Xi</t>
  </si>
  <si>
    <t>Xã Tênh Phông</t>
  </si>
  <si>
    <t>Xã Pú Nhung</t>
  </si>
  <si>
    <t>Xã Quài Nưa</t>
  </si>
  <si>
    <t>Xã Nà Sáy</t>
  </si>
  <si>
    <t>TỪ NGÂN SÁCH CẤP TRÊN CHO NGÂN SÁCH CẤP DƯỚI NĂM 2023</t>
  </si>
  <si>
    <t>DỰ TOÁN CHI NGÂN SÁCH ĐỊA PHƯƠNG TỪNG XÃ NĂM 2023</t>
  </si>
  <si>
    <t>DỰ TOÁN BỔ SUNG CÓ MỤC TIÊU VỐN SỰ NGHIỆP TỪ NGÂN SÁCH CẤP HUYỆN
 CHO NGÂN SÁCH TỪNG XÃ ĐỂ THỰC HIỆN CÁC CHẾ ĐỘ, NHIỆM VỤ VÀ 
CHÍNH SÁCH THEO QUY ĐỊNH NĂM 2023</t>
  </si>
  <si>
    <t>Chương trình MTQG Phát triển KT-XH vùng đồng bào dân tộc thiểu số và miền núi</t>
  </si>
  <si>
    <t>Chương trình MTQG Giảm nghèo bền vững</t>
  </si>
  <si>
    <t>Chương trình MTQG xây dựng Nông thôn mới</t>
  </si>
  <si>
    <t>Chương trình mục tiêu phát triển lâm nghiệp bền vững</t>
  </si>
  <si>
    <t>10=11+12</t>
  </si>
  <si>
    <t>13=14+15</t>
  </si>
  <si>
    <t>Chi giáo dục - đào tạo và dạy nghề</t>
  </si>
  <si>
    <t>Chi Hoạt động của các cơ quan QLHC, tổ chức chính trị</t>
  </si>
  <si>
    <t>Đầu tư XDCB vốn trong nước</t>
  </si>
  <si>
    <t>Đầu tư từ nguồn thu tiền sử dụng đất</t>
  </si>
  <si>
    <t>Hoạt động của các cơ quan quản lý hành chính, tổ chức CT</t>
  </si>
  <si>
    <t>Tiết kiệm 10% chi thường xuyên để thực hiện CCTL</t>
  </si>
  <si>
    <t>Chương trình MT tái cơ cấu kinh tế nông nghiệp và phòng chống giảm nhẹ thiên tai, ổn định đời sống dân cư</t>
  </si>
  <si>
    <t>Kinh phí thực hiện nhiệm vụ  đảm bảo trật tự an toàn giao thông</t>
  </si>
  <si>
    <t>Thu từ ngân sách cấp dưới nộp lên</t>
  </si>
  <si>
    <t>C</t>
  </si>
  <si>
    <t xml:space="preserve">CHI CHUYỂN NGUỒN SANG NĂM SAU </t>
  </si>
  <si>
    <t xml:space="preserve"> - Vốn đầu tư</t>
  </si>
  <si>
    <t xml:space="preserve"> - Vốn sự nghiệp</t>
  </si>
  <si>
    <t>Trung tâm chính trị</t>
  </si>
  <si>
    <t>Chi các hoạt động kinh tế khác</t>
  </si>
  <si>
    <t>Ban quản lý dự án CCT</t>
  </si>
  <si>
    <t>Chi phát thanh, truyền hình</t>
  </si>
  <si>
    <t>Phòng Nông nghiệp và PTNT</t>
  </si>
  <si>
    <t>Phòng Tài chính - Kế hoạch</t>
  </si>
  <si>
    <t>Phòng Tài nguyên và MT</t>
  </si>
  <si>
    <t>Phòng Lao động thương binh và xã hội</t>
  </si>
  <si>
    <t>Phòng Văn hóa và Thông tin</t>
  </si>
  <si>
    <t>Phòng Giáo dục và Đào tạo</t>
  </si>
  <si>
    <t>Trung tâm văn hóa truyền thanh truyền hình</t>
  </si>
  <si>
    <t>Ban chỉ huy quân sự huyện</t>
  </si>
  <si>
    <t>Ban quản lý dự án các công trình</t>
  </si>
  <si>
    <r>
      <t>Ghi chú: </t>
    </r>
    <r>
      <rPr>
        <sz val="10"/>
        <rFont val="Times New Roman"/>
        <family val="1"/>
      </rPr>
      <t>(1) Thu ngân sách nhà nước trên địa bàn tỉnh chi tiết đến từng huyện; thu ngân sách nhà nước trên địa bàn huyện chi tiết đến từng xã.</t>
    </r>
  </si>
  <si>
    <r>
      <t>Ghi chú: </t>
    </r>
    <r>
      <rPr>
        <i/>
        <sz val="10"/>
        <rFont val="Times New Roman"/>
        <family val="1"/>
      </rPr>
      <t>(1) Chi bổ sung có mục tiêu từ ngân sách tỉnh chi tiết đến từng huyện; Chi bổ sung có mục tiêu từ ngân sách huyện chi tiết đến từng xã.</t>
    </r>
  </si>
  <si>
    <r>
      <t xml:space="preserve">Chi đầu tư từ nguồn thu XSKT </t>
    </r>
    <r>
      <rPr>
        <sz val="11"/>
        <rFont val="Times New Roman"/>
        <family val="1"/>
      </rPr>
      <t>(nếu có)</t>
    </r>
  </si>
  <si>
    <t>Quỹ hoạt động chữ thập đỏ</t>
  </si>
  <si>
    <t>Ước thực hiện năm 2023</t>
  </si>
  <si>
    <t>Kế hoạch năm 2024</t>
  </si>
  <si>
    <t>(Kèm theo Nghị quyết số       /NQ-HĐND ngày          tháng 12 năm 2023 của HĐND huyện Tuần Giáo)</t>
  </si>
  <si>
    <t>KẾ HOẠCH TÀI CHÍNH CỦA CÁC QUỸ TÀI CHÍNH NHÀ NƯỚC NGOÀI NGÂN SÁCH 
DO ĐỊA PHƯƠNG QUẢN LÝ NĂM 2024</t>
  </si>
  <si>
    <t>Dư nguồn đến ngày 31/12/
2022</t>
  </si>
  <si>
    <t>Số dư nguồn đến ngày 31/12/
2024</t>
  </si>
  <si>
    <t>KẾ HOẠCH THU DỊCH VỤ CỦA ĐƠN VỊ SỰ NGHIỆP CÔNG NĂM 2024 (KHÔNG BAO GỒM NGUỒN NSNN)</t>
  </si>
  <si>
    <t xml:space="preserve"> CÂN ĐỐI NGÂN SÁCH ĐỊA PHƯƠNG NĂM 2024</t>
  </si>
  <si>
    <t>Dự toán năm 2024</t>
  </si>
  <si>
    <t>DỰ TOÁN THU NGÂN SÁCH NHÀ NƯỚC THEO LĨNH VỰC NĂM 2024</t>
  </si>
  <si>
    <t>Thu ngân sách huyện hưởng</t>
  </si>
  <si>
    <t>Thuế tiêu thụ đặc biệt</t>
  </si>
  <si>
    <t xml:space="preserve">         - Phí BVMT đối với nước thải</t>
  </si>
  <si>
    <t>DỰ TOÁN CHI NGÂN SÁCH ĐỊA PHƯƠNG THEO CƠ CẤU CHI NĂM 2024</t>
  </si>
  <si>
    <t>VÀ NGÂN SÁCH XÃ NĂM 2024</t>
  </si>
  <si>
    <t>CHO TỪNG CƠ QUAN, TỔ CHỨC THEO LĨNH VỰC NĂM 2024</t>
  </si>
  <si>
    <t>VÀ CHI NGÂN SÁCH XÃ THEO CƠ CẤU CHI NĂM 2024</t>
  </si>
  <si>
    <t>DỰ TOÁN THU NGÂN SÁCH NHÀ NƯỚC TRÊN ĐỊA BÀN TỪNG XÃ NĂM 2024</t>
  </si>
  <si>
    <t>TỪNG  XÃ THEO LĨNH VỰC NĂM 2024</t>
  </si>
  <si>
    <t>CHO NGÂN SÁCH TỪNG XÃ NĂM 2024</t>
  </si>
  <si>
    <t>CHO  TỪNG CƠ QUAN, TỔ CHỨC THEO LĨNH VỰC NĂM 2024</t>
  </si>
  <si>
    <t>DỰ TOÁN CHI NGÂN SÁCH CẤP HUYỆN CHO TỪNG CƠ QUAN, TỔ CHỨC THEO LĨNH VỰC NĂM 2024</t>
  </si>
  <si>
    <t>DỰ TOÁN CHI NGÂN SÁCH CẤP HUYỆN THEO LĨNH VỰC NĂM 2024</t>
  </si>
  <si>
    <t>DỰ TOÁN CHI CHƯƠNG TRÌNH MỤC TIÊU QUỐC GIA NGÂN SÁCH CẤP HUYỆN VÀ NGÂN SÁCH XÃ NĂM 2024</t>
  </si>
  <si>
    <t>Phòng Lao động TBXH</t>
  </si>
  <si>
    <t>Hội phụ nữ</t>
  </si>
  <si>
    <t>Ban QLDA các công trình</t>
  </si>
  <si>
    <t>Trung tâm dịch vụ NN</t>
  </si>
  <si>
    <t>TỔNG CHI NGÂN SÁCH CẤP HUYỆN</t>
  </si>
  <si>
    <t>CHI NGÂN SÁCH CẤP HUYỆN</t>
  </si>
  <si>
    <r>
      <t>Chi đầu tư phát triển</t>
    </r>
    <r>
      <rPr>
        <sz val="11"/>
        <rFont val="Times New Roman"/>
        <family val="1"/>
      </rPr>
      <t xml:space="preserve"> (Không kể chương trình MTQG)</t>
    </r>
  </si>
  <si>
    <r>
      <t>Chi thường xuyên</t>
    </r>
    <r>
      <rPr>
        <sz val="11"/>
        <rFont val="Times New Roman"/>
        <family val="1"/>
      </rPr>
      <t xml:space="preserve"> (Không kể chương trình MTQG)</t>
    </r>
  </si>
  <si>
    <t>Chưa phân bổ chi tiết</t>
  </si>
  <si>
    <t>CHI CÂN ĐỐI NGÂN SÁCH ĐỊA PHƯƠNG</t>
  </si>
  <si>
    <t>B.1</t>
  </si>
  <si>
    <t>B.2</t>
  </si>
  <si>
    <t>Các cơ quan, đơn vị của huyện</t>
  </si>
  <si>
    <t>Hỗ trợ các tổ chức xã hội</t>
  </si>
  <si>
    <t>Hội người cao tuổi</t>
  </si>
  <si>
    <t>Hội chữ thập đỏ</t>
  </si>
  <si>
    <t>Hội Cựu thanh niên xung phong</t>
  </si>
  <si>
    <t>Hỗ trợ Hội văn học nghệ thuật</t>
  </si>
  <si>
    <t>Hỗ trợ Hội cựu giáo chức</t>
  </si>
  <si>
    <t>Chi khác</t>
  </si>
  <si>
    <t>Vốn đầu tư các Chương trình MTQG</t>
  </si>
  <si>
    <t>Chi cân đối</t>
  </si>
  <si>
    <t xml:space="preserve">         - Phí BVMT khai thác khoáng sản</t>
  </si>
  <si>
    <t>Tr.đó: - Phí, lệ phí trung ương hưởng</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</si>
</sst>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 numFmtId="202" formatCode="#,##0.000"/>
    <numFmt numFmtId="203" formatCode="#,##0.0000"/>
    <numFmt numFmtId="204" formatCode="_(* #,##0.0_);_(* \(#,##0.0\);_(* &quot;-&quot;??_);_(@_)"/>
    <numFmt numFmtId="205" formatCode="0.0"/>
    <numFmt numFmtId="206" formatCode="_(* #,##0.000_);_(* \(#,##0.000\);_(* &quot;-&quot;??_);_(@_)"/>
    <numFmt numFmtId="207" formatCode="_(* #,##0.000_);_(* \(#,##0.000\);_(* &quot;-&quot;???_);_(@_)"/>
    <numFmt numFmtId="208" formatCode="_(* #,##0.0_);_(* \(#,##0.0\);_(* &quot;-&quot;?_);_(@_)"/>
    <numFmt numFmtId="209" formatCode="_(* #,##0.0000_);_(* \(#,##0.0000\);_(* &quot;-&quot;??_);_(@_)"/>
    <numFmt numFmtId="210" formatCode="_(* #,##0.00000_);_(* \(#,##0.00000\);_(* &quot;-&quot;??_);_(@_)"/>
    <numFmt numFmtId="211" formatCode="_-* #,##0_-;\-* #,##0_-;_-* &quot;-&quot;??_-;_-@_-"/>
    <numFmt numFmtId="212" formatCode="_-* #,##0.0\ _₫_-;\-* #,##0.0\ _₫_-;_-* &quot;-&quot;?\ _₫_-;_-@_-"/>
  </numFmts>
  <fonts count="109">
    <font>
      <sz val="12"/>
      <name val=".Vntime"/>
      <family val="0"/>
    </font>
    <font>
      <b/>
      <sz val="12"/>
      <name val=".Vntime"/>
      <family val="0"/>
    </font>
    <font>
      <i/>
      <sz val="12"/>
      <name val=".VnTime"/>
      <family val="0"/>
    </font>
    <font>
      <b/>
      <i/>
      <sz val="12"/>
      <name val=".VnTime"/>
      <family val="0"/>
    </font>
    <font>
      <sz val="12"/>
      <name val=".VnTime"/>
      <family val="2"/>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sz val="8"/>
      <name val="Times New Roman"/>
      <family val="1"/>
    </font>
    <font>
      <sz val="10"/>
      <name val="Times New Roman"/>
      <family val="1"/>
    </font>
    <font>
      <b/>
      <sz val="12"/>
      <color indexed="8"/>
      <name val="Times New Roman"/>
      <family val="1"/>
    </font>
    <font>
      <sz val="12"/>
      <color indexed="8"/>
      <name val="Times New Roman"/>
      <family val="1"/>
    </font>
    <font>
      <b/>
      <sz val="14"/>
      <color indexed="8"/>
      <name val="Times New Roman"/>
      <family val="1"/>
    </font>
    <font>
      <i/>
      <sz val="12"/>
      <color indexed="8"/>
      <name val="Times New Roman"/>
      <family val="1"/>
    </font>
    <font>
      <sz val="10"/>
      <color indexed="8"/>
      <name val="Times New Roman"/>
      <family val="1"/>
    </font>
    <font>
      <b/>
      <i/>
      <sz val="12"/>
      <color indexed="8"/>
      <name val="Times New Roman"/>
      <family val="1"/>
    </font>
    <font>
      <b/>
      <sz val="10"/>
      <name val="Times New Roman"/>
      <family val="1"/>
    </font>
    <font>
      <sz val="11"/>
      <name val=".VnTime"/>
      <family val="2"/>
    </font>
    <font>
      <sz val="10"/>
      <name val="Arial"/>
      <family val="2"/>
    </font>
    <font>
      <b/>
      <sz val="9"/>
      <name val="Tahoma"/>
      <family val="2"/>
    </font>
    <font>
      <sz val="9"/>
      <name val="Tahoma"/>
      <family val="2"/>
    </font>
    <font>
      <sz val="13"/>
      <name val="VnTime"/>
      <family val="0"/>
    </font>
    <font>
      <sz val="9"/>
      <name val="Times New Roman"/>
      <family val="1"/>
    </font>
    <font>
      <i/>
      <sz val="11"/>
      <name val="Times New Roman"/>
      <family val="1"/>
    </font>
    <font>
      <sz val="7"/>
      <name val="Times New Roman"/>
      <family val="1"/>
    </font>
    <font>
      <i/>
      <sz val="10"/>
      <name val="Times New Roman"/>
      <family val="1"/>
    </font>
    <font>
      <b/>
      <i/>
      <sz val="10"/>
      <name val="Times New Roman"/>
      <family val="1"/>
    </font>
    <font>
      <b/>
      <sz val="12"/>
      <name val="Times New Romanh"/>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2"/>
      <name val="Times New Roman"/>
      <family val="1"/>
    </font>
    <font>
      <sz val="14"/>
      <color indexed="12"/>
      <name val="Times New Roman"/>
      <family val="1"/>
    </font>
    <font>
      <i/>
      <sz val="14"/>
      <color indexed="8"/>
      <name val="Times New Roman"/>
      <family val="1"/>
    </font>
    <font>
      <sz val="14"/>
      <color indexed="8"/>
      <name val="Times New Roman"/>
      <family val="1"/>
    </font>
    <font>
      <sz val="11"/>
      <color indexed="8"/>
      <name val="Times New Roman"/>
      <family val="1"/>
    </font>
    <font>
      <b/>
      <sz val="14"/>
      <color indexed="8"/>
      <name val="Times New Romanh"/>
      <family val="0"/>
    </font>
    <font>
      <b/>
      <sz val="12"/>
      <color indexed="8"/>
      <name val="Times New Roman h"/>
      <family val="0"/>
    </font>
    <font>
      <b/>
      <sz val="13"/>
      <color indexed="8"/>
      <name val="Times New Roman"/>
      <family val="1"/>
    </font>
    <font>
      <sz val="13"/>
      <color indexed="8"/>
      <name val="Times New Roman"/>
      <family val="1"/>
    </font>
    <font>
      <b/>
      <u val="single"/>
      <sz val="12"/>
      <color indexed="8"/>
      <name val="Times New Roman"/>
      <family val="1"/>
    </font>
    <font>
      <sz val="12"/>
      <color indexed="10"/>
      <name val="Times New Roman"/>
      <family val="1"/>
    </font>
    <font>
      <b/>
      <sz val="11"/>
      <color indexed="10"/>
      <name val="Times New Roman"/>
      <family val="1"/>
    </font>
    <font>
      <sz val="11"/>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Times New Roman"/>
      <family val="1"/>
    </font>
    <font>
      <sz val="14"/>
      <color rgb="FF0000FF"/>
      <name val="Times New Roman"/>
      <family val="1"/>
    </font>
    <font>
      <b/>
      <sz val="12"/>
      <color theme="1"/>
      <name val="Times New Roman"/>
      <family val="1"/>
    </font>
    <font>
      <i/>
      <sz val="14"/>
      <color theme="1"/>
      <name val="Times New Roman"/>
      <family val="1"/>
    </font>
    <font>
      <sz val="14"/>
      <color theme="1"/>
      <name val="Times New Roman"/>
      <family val="1"/>
    </font>
    <font>
      <sz val="11"/>
      <color theme="1"/>
      <name val="Times New Roman"/>
      <family val="1"/>
    </font>
    <font>
      <b/>
      <sz val="14"/>
      <color theme="1"/>
      <name val="Times New Roman"/>
      <family val="1"/>
    </font>
    <font>
      <b/>
      <sz val="14"/>
      <color theme="1"/>
      <name val="Times New Romanh"/>
      <family val="0"/>
    </font>
    <font>
      <b/>
      <sz val="12"/>
      <color theme="1"/>
      <name val="Times New Roman h"/>
      <family val="0"/>
    </font>
    <font>
      <b/>
      <sz val="13"/>
      <color theme="1"/>
      <name val="Times New Roman"/>
      <family val="1"/>
    </font>
    <font>
      <sz val="13"/>
      <color theme="1"/>
      <name val="Times New Roman"/>
      <family val="1"/>
    </font>
    <font>
      <b/>
      <u val="single"/>
      <sz val="12"/>
      <color theme="1"/>
      <name val="Times New Roman"/>
      <family val="1"/>
    </font>
    <font>
      <i/>
      <sz val="12"/>
      <color theme="1"/>
      <name val="Times New Roman"/>
      <family val="1"/>
    </font>
    <font>
      <sz val="12"/>
      <color rgb="FFFF0000"/>
      <name val="Times New Roman"/>
      <family val="1"/>
    </font>
    <font>
      <b/>
      <sz val="11"/>
      <color rgb="FFFF0000"/>
      <name val="Times New Roman"/>
      <family val="1"/>
    </font>
    <font>
      <sz val="11"/>
      <color rgb="FFFF0000"/>
      <name val="Times New Roman"/>
      <family val="1"/>
    </font>
    <font>
      <b/>
      <sz val="12"/>
      <color rgb="FFFF0000"/>
      <name val="Times New Roman"/>
      <family val="1"/>
    </font>
    <font>
      <b/>
      <sz val="8"/>
      <name val=".Vntime"/>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173" fontId="4" fillId="0" borderId="0" applyFont="0" applyFill="0" applyBorder="0" applyAlignment="0" applyProtection="0"/>
    <xf numFmtId="171" fontId="4" fillId="0" borderId="0" applyFont="0" applyFill="0" applyBorder="0" applyAlignment="0" applyProtection="0"/>
    <xf numFmtId="173" fontId="32" fillId="0" borderId="0" applyFont="0" applyFill="0" applyBorder="0" applyAlignment="0" applyProtection="0"/>
    <xf numFmtId="199" fontId="19" fillId="0" borderId="0" applyProtection="0">
      <alignment/>
    </xf>
    <xf numFmtId="173" fontId="8" fillId="0" borderId="0" applyFont="0" applyFill="0" applyBorder="0" applyAlignment="0" applyProtection="0"/>
    <xf numFmtId="173" fontId="8"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0" fontId="77" fillId="27" borderId="2" applyNumberFormat="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79" fillId="28" borderId="0" applyNumberFormat="0" applyBorder="0" applyAlignment="0" applyProtection="0"/>
    <xf numFmtId="196" fontId="17"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32" fillId="0" borderId="0">
      <alignment/>
      <protection/>
    </xf>
    <xf numFmtId="0" fontId="32" fillId="0" borderId="0">
      <alignment/>
      <protection/>
    </xf>
    <xf numFmtId="0" fontId="73" fillId="0" borderId="0">
      <alignment/>
      <protection/>
    </xf>
    <xf numFmtId="0" fontId="19" fillId="0" borderId="0">
      <alignment/>
      <protection/>
    </xf>
    <xf numFmtId="0" fontId="4" fillId="0" borderId="0">
      <alignment/>
      <protection/>
    </xf>
    <xf numFmtId="0" fontId="4" fillId="0" borderId="0">
      <alignment/>
      <protection/>
    </xf>
    <xf numFmtId="0" fontId="23" fillId="0" borderId="0">
      <alignment/>
      <protection/>
    </xf>
    <xf numFmtId="0" fontId="86" fillId="0" borderId="0">
      <alignment/>
      <protection/>
    </xf>
    <xf numFmtId="0" fontId="18" fillId="0" borderId="0" applyProtection="0">
      <alignment/>
    </xf>
    <xf numFmtId="0" fontId="15" fillId="0" borderId="0">
      <alignment/>
      <protection/>
    </xf>
    <xf numFmtId="0" fontId="73" fillId="0" borderId="0">
      <alignment/>
      <protection/>
    </xf>
    <xf numFmtId="0" fontId="4" fillId="0" borderId="0">
      <alignment/>
      <protection/>
    </xf>
    <xf numFmtId="0" fontId="35" fillId="0" borderId="0">
      <alignment/>
      <protection/>
    </xf>
    <xf numFmtId="0" fontId="4" fillId="31" borderId="7" applyNumberFormat="0" applyFont="0" applyAlignment="0" applyProtection="0"/>
    <xf numFmtId="0" fontId="87" fillId="26" borderId="8" applyNumberFormat="0" applyAlignment="0" applyProtection="0"/>
    <xf numFmtId="9" fontId="4"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23">
    <xf numFmtId="0" fontId="0" fillId="0" borderId="0" xfId="0" applyAlignment="1">
      <alignment/>
    </xf>
    <xf numFmtId="0" fontId="8" fillId="0" borderId="0" xfId="0" applyFont="1" applyAlignment="1">
      <alignment/>
    </xf>
    <xf numFmtId="0" fontId="25" fillId="0" borderId="0" xfId="0" applyFont="1" applyAlignment="1">
      <alignment/>
    </xf>
    <xf numFmtId="0" fontId="27" fillId="0" borderId="0" xfId="0" applyFont="1" applyAlignment="1">
      <alignment/>
    </xf>
    <xf numFmtId="0" fontId="8" fillId="0" borderId="0" xfId="66" applyFont="1" applyFill="1">
      <alignment/>
      <protection/>
    </xf>
    <xf numFmtId="0" fontId="11" fillId="0" borderId="0" xfId="66" applyFont="1" applyFill="1">
      <alignment/>
      <protection/>
    </xf>
    <xf numFmtId="0" fontId="23" fillId="0" borderId="10" xfId="66" applyFont="1" applyFill="1" applyBorder="1" applyAlignment="1">
      <alignment horizontal="center" vertical="center"/>
      <protection/>
    </xf>
    <xf numFmtId="0" fontId="10" fillId="0" borderId="0" xfId="0" applyFont="1" applyFill="1" applyAlignment="1">
      <alignment/>
    </xf>
    <xf numFmtId="0" fontId="25" fillId="0" borderId="0" xfId="0" applyFont="1" applyFill="1" applyAlignment="1">
      <alignment/>
    </xf>
    <xf numFmtId="0" fontId="13" fillId="0" borderId="0" xfId="66" applyFont="1" applyFill="1">
      <alignment/>
      <protection/>
    </xf>
    <xf numFmtId="0" fontId="7" fillId="32" borderId="0" xfId="0" applyFont="1" applyFill="1" applyAlignment="1">
      <alignment/>
    </xf>
    <xf numFmtId="0" fontId="8" fillId="32" borderId="0" xfId="72" applyFont="1" applyFill="1" applyAlignment="1">
      <alignment vertical="center" wrapText="1"/>
      <protection/>
    </xf>
    <xf numFmtId="0" fontId="30" fillId="32" borderId="0" xfId="72" applyFont="1" applyFill="1" applyAlignment="1">
      <alignment horizontal="center" vertical="center" wrapText="1"/>
      <protection/>
    </xf>
    <xf numFmtId="0" fontId="7" fillId="32" borderId="0" xfId="72" applyFont="1" applyFill="1" applyAlignment="1">
      <alignment horizontal="center" vertical="center" wrapText="1"/>
      <protection/>
    </xf>
    <xf numFmtId="0" fontId="8" fillId="32" borderId="10" xfId="72" applyFont="1" applyFill="1" applyBorder="1" applyAlignment="1">
      <alignment horizontal="center" vertical="center" wrapText="1"/>
      <protection/>
    </xf>
    <xf numFmtId="0" fontId="8" fillId="32" borderId="0" xfId="72" applyFont="1" applyFill="1" applyAlignment="1">
      <alignment horizontal="center" vertical="center" wrapText="1"/>
      <protection/>
    </xf>
    <xf numFmtId="0" fontId="7" fillId="32" borderId="0" xfId="72" applyFont="1" applyFill="1" applyAlignment="1">
      <alignment vertical="center"/>
      <protection/>
    </xf>
    <xf numFmtId="0" fontId="8" fillId="32" borderId="0" xfId="72" applyFont="1" applyFill="1" applyAlignment="1">
      <alignment vertical="center"/>
      <protection/>
    </xf>
    <xf numFmtId="4" fontId="8" fillId="32" borderId="0" xfId="72" applyNumberFormat="1" applyFont="1" applyFill="1" applyAlignment="1">
      <alignment vertical="center"/>
      <protection/>
    </xf>
    <xf numFmtId="0" fontId="24" fillId="0" borderId="0" xfId="0" applyFont="1" applyAlignment="1">
      <alignment/>
    </xf>
    <xf numFmtId="0" fontId="28" fillId="0" borderId="0" xfId="0" applyFont="1" applyAlignment="1">
      <alignment/>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3" fontId="16" fillId="0" borderId="0" xfId="0" applyNumberFormat="1" applyFont="1" applyFill="1" applyAlignment="1">
      <alignment horizontal="center"/>
    </xf>
    <xf numFmtId="0" fontId="7" fillId="0" borderId="0" xfId="0" applyFont="1" applyFill="1" applyAlignment="1">
      <alignment horizontal="center"/>
    </xf>
    <xf numFmtId="0" fontId="30" fillId="32" borderId="0" xfId="0" applyFont="1" applyFill="1" applyAlignment="1">
      <alignment/>
    </xf>
    <xf numFmtId="0" fontId="8" fillId="32" borderId="0" xfId="0" applyFont="1" applyFill="1" applyAlignment="1">
      <alignment/>
    </xf>
    <xf numFmtId="0" fontId="13" fillId="32" borderId="0" xfId="0" applyFont="1" applyFill="1" applyAlignment="1">
      <alignment/>
    </xf>
    <xf numFmtId="0" fontId="21" fillId="32" borderId="10" xfId="0" applyFont="1" applyFill="1" applyBorder="1" applyAlignment="1">
      <alignment horizontal="center" vertical="center"/>
    </xf>
    <xf numFmtId="0" fontId="21" fillId="32" borderId="0" xfId="0" applyFont="1" applyFill="1" applyAlignment="1">
      <alignment vertical="center"/>
    </xf>
    <xf numFmtId="0" fontId="11" fillId="32" borderId="0" xfId="0" applyFont="1" applyFill="1" applyAlignment="1">
      <alignment/>
    </xf>
    <xf numFmtId="0" fontId="24" fillId="0" borderId="10" xfId="0" applyFont="1" applyBorder="1" applyAlignment="1">
      <alignment horizontal="center" vertical="center"/>
    </xf>
    <xf numFmtId="0" fontId="24" fillId="0" borderId="10" xfId="0" applyFont="1" applyBorder="1" applyAlignment="1" quotePrefix="1">
      <alignment horizontal="center" vertical="center"/>
    </xf>
    <xf numFmtId="0" fontId="24" fillId="0" borderId="0" xfId="0" applyFont="1" applyAlignment="1">
      <alignment vertical="center"/>
    </xf>
    <xf numFmtId="3" fontId="25" fillId="0" borderId="0" xfId="0" applyNumberFormat="1" applyFont="1" applyAlignment="1">
      <alignment/>
    </xf>
    <xf numFmtId="0" fontId="7" fillId="32" borderId="10" xfId="0" applyFont="1" applyFill="1" applyBorder="1" applyAlignment="1">
      <alignment/>
    </xf>
    <xf numFmtId="3" fontId="8" fillId="32" borderId="0" xfId="0" applyNumberFormat="1" applyFont="1" applyFill="1" applyAlignment="1">
      <alignment/>
    </xf>
    <xf numFmtId="3" fontId="8" fillId="32" borderId="10" xfId="0" applyNumberFormat="1" applyFont="1" applyFill="1" applyBorder="1" applyAlignment="1">
      <alignment/>
    </xf>
    <xf numFmtId="0" fontId="4" fillId="32" borderId="0" xfId="0" applyFont="1" applyFill="1" applyAlignment="1">
      <alignment/>
    </xf>
    <xf numFmtId="0" fontId="21" fillId="32" borderId="10" xfId="0" applyFont="1" applyFill="1" applyBorder="1" applyAlignment="1">
      <alignment horizontal="center" vertical="center" wrapText="1"/>
    </xf>
    <xf numFmtId="0" fontId="31" fillId="32" borderId="0" xfId="0" applyFont="1" applyFill="1" applyAlignment="1">
      <alignment/>
    </xf>
    <xf numFmtId="0" fontId="8" fillId="0" borderId="10" xfId="0" applyFont="1" applyFill="1" applyBorder="1" applyAlignment="1">
      <alignment horizontal="center" vertical="center"/>
    </xf>
    <xf numFmtId="0" fontId="16" fillId="32" borderId="0" xfId="0" applyFont="1" applyFill="1" applyAlignment="1">
      <alignment horizontal="left"/>
    </xf>
    <xf numFmtId="0" fontId="7" fillId="32" borderId="0" xfId="0" applyFont="1" applyFill="1" applyAlignment="1">
      <alignment vertical="center"/>
    </xf>
    <xf numFmtId="0" fontId="16" fillId="32" borderId="0" xfId="0" applyFont="1" applyFill="1" applyAlignment="1">
      <alignment/>
    </xf>
    <xf numFmtId="3" fontId="16" fillId="32" borderId="0" xfId="0" applyNumberFormat="1" applyFont="1" applyFill="1" applyAlignment="1">
      <alignment/>
    </xf>
    <xf numFmtId="0" fontId="21" fillId="32" borderId="0" xfId="0" applyFont="1" applyFill="1" applyAlignment="1">
      <alignment/>
    </xf>
    <xf numFmtId="0" fontId="8" fillId="32" borderId="10" xfId="0" applyFont="1" applyFill="1" applyBorder="1" applyAlignment="1">
      <alignment horizontal="center" vertical="center"/>
    </xf>
    <xf numFmtId="0" fontId="8" fillId="32" borderId="0" xfId="0" applyFont="1" applyFill="1" applyAlignment="1">
      <alignment vertical="center"/>
    </xf>
    <xf numFmtId="3" fontId="8" fillId="32" borderId="10" xfId="41" applyNumberFormat="1" applyFont="1" applyFill="1" applyBorder="1" applyAlignment="1">
      <alignment horizontal="right"/>
    </xf>
    <xf numFmtId="0" fontId="14" fillId="32" borderId="0" xfId="0" applyFont="1" applyFill="1" applyAlignment="1">
      <alignment/>
    </xf>
    <xf numFmtId="0" fontId="21" fillId="32" borderId="10" xfId="0" applyFont="1" applyFill="1" applyBorder="1" applyAlignment="1" quotePrefix="1">
      <alignment horizontal="center" vertical="center"/>
    </xf>
    <xf numFmtId="0" fontId="22" fillId="32" borderId="10" xfId="0" applyFont="1" applyFill="1" applyBorder="1" applyAlignment="1" quotePrefix="1">
      <alignment horizontal="center" vertical="center"/>
    </xf>
    <xf numFmtId="0" fontId="38" fillId="32" borderId="10" xfId="0" applyFont="1" applyFill="1" applyBorder="1" applyAlignment="1" quotePrefix="1">
      <alignment horizontal="center" vertical="center"/>
    </xf>
    <xf numFmtId="0" fontId="22" fillId="32" borderId="10" xfId="0" applyFont="1" applyFill="1" applyBorder="1" applyAlignment="1">
      <alignment horizontal="center" vertical="center"/>
    </xf>
    <xf numFmtId="0" fontId="30" fillId="32" borderId="0" xfId="0" applyFont="1" applyFill="1" applyAlignment="1">
      <alignment horizontal="right" vertical="center" wrapText="1"/>
    </xf>
    <xf numFmtId="0" fontId="39" fillId="32" borderId="0" xfId="0" applyFont="1" applyFill="1" applyAlignment="1">
      <alignment horizontal="right" vertical="center" wrapText="1"/>
    </xf>
    <xf numFmtId="3" fontId="7" fillId="32" borderId="10" xfId="41" applyNumberFormat="1" applyFont="1" applyFill="1" applyBorder="1" applyAlignment="1">
      <alignment horizontal="right" vertical="center" wrapText="1"/>
    </xf>
    <xf numFmtId="0" fontId="8" fillId="32" borderId="10" xfId="0" applyFont="1" applyFill="1" applyBorder="1" applyAlignment="1">
      <alignment horizontal="center" vertical="center" wrapText="1"/>
    </xf>
    <xf numFmtId="3" fontId="8" fillId="32" borderId="10" xfId="41" applyNumberFormat="1" applyFont="1" applyFill="1" applyBorder="1" applyAlignment="1">
      <alignment horizontal="right" vertical="center" wrapText="1"/>
    </xf>
    <xf numFmtId="0" fontId="7" fillId="32" borderId="10" xfId="0" applyFont="1" applyFill="1" applyBorder="1" applyAlignment="1">
      <alignment horizontal="center" vertical="center"/>
    </xf>
    <xf numFmtId="0" fontId="7" fillId="32" borderId="11" xfId="72" applyFont="1" applyFill="1" applyBorder="1" applyAlignment="1">
      <alignment horizontal="center" vertical="center" wrapText="1"/>
      <protection/>
    </xf>
    <xf numFmtId="0" fontId="7" fillId="32" borderId="10" xfId="72" applyFont="1" applyFill="1" applyBorder="1" applyAlignment="1">
      <alignment horizontal="center" vertical="center"/>
      <protection/>
    </xf>
    <xf numFmtId="0" fontId="23" fillId="0" borderId="10" xfId="0" applyFont="1" applyFill="1" applyBorder="1" applyAlignment="1">
      <alignment horizontal="center" vertical="center" wrapText="1"/>
    </xf>
    <xf numFmtId="0" fontId="91" fillId="32" borderId="0" xfId="0" applyFont="1" applyFill="1" applyAlignment="1">
      <alignment horizontal="right"/>
    </xf>
    <xf numFmtId="0" fontId="7" fillId="32" borderId="0" xfId="0" applyFont="1" applyFill="1" applyAlignment="1">
      <alignment horizontal="centerContinuous" vertical="center"/>
    </xf>
    <xf numFmtId="0" fontId="8" fillId="32" borderId="0" xfId="0" applyFont="1" applyFill="1" applyAlignment="1">
      <alignment horizontal="right" vertical="center"/>
    </xf>
    <xf numFmtId="0" fontId="8" fillId="32" borderId="0" xfId="0" applyFont="1" applyFill="1" applyAlignment="1">
      <alignment horizontal="centerContinuous" vertical="center"/>
    </xf>
    <xf numFmtId="0" fontId="7" fillId="32" borderId="0" xfId="0" applyFont="1" applyFill="1" applyAlignment="1">
      <alignment horizontal="right" vertical="center"/>
    </xf>
    <xf numFmtId="0" fontId="10" fillId="32" borderId="0" xfId="0" applyFont="1" applyFill="1" applyAlignment="1">
      <alignment horizontal="left" vertical="center"/>
    </xf>
    <xf numFmtId="0" fontId="11" fillId="32" borderId="0" xfId="0" applyFont="1" applyFill="1" applyAlignment="1">
      <alignment vertical="center"/>
    </xf>
    <xf numFmtId="0" fontId="13" fillId="32" borderId="0" xfId="0" applyFont="1" applyFill="1" applyAlignment="1">
      <alignment vertical="center"/>
    </xf>
    <xf numFmtId="3" fontId="11" fillId="32" borderId="0" xfId="0" applyNumberFormat="1" applyFont="1" applyFill="1" applyAlignment="1">
      <alignment vertical="center"/>
    </xf>
    <xf numFmtId="0" fontId="9" fillId="32" borderId="0" xfId="0" applyFont="1" applyFill="1" applyAlignment="1">
      <alignment vertical="center"/>
    </xf>
    <xf numFmtId="0" fontId="10" fillId="32" borderId="0" xfId="0" applyFont="1" applyFill="1" applyAlignment="1">
      <alignment vertical="center"/>
    </xf>
    <xf numFmtId="3" fontId="92" fillId="32" borderId="0" xfId="0" applyNumberFormat="1" applyFont="1" applyFill="1" applyAlignment="1">
      <alignment vertical="center"/>
    </xf>
    <xf numFmtId="0" fontId="92" fillId="32" borderId="0" xfId="0" applyFont="1" applyFill="1" applyAlignment="1">
      <alignment vertical="center"/>
    </xf>
    <xf numFmtId="0" fontId="91" fillId="32" borderId="0" xfId="0" applyFont="1" applyFill="1" applyAlignment="1">
      <alignment vertical="center"/>
    </xf>
    <xf numFmtId="200" fontId="8" fillId="32" borderId="10" xfId="41" applyNumberFormat="1" applyFont="1" applyFill="1" applyBorder="1" applyAlignment="1">
      <alignment vertical="center"/>
    </xf>
    <xf numFmtId="3" fontId="8" fillId="32" borderId="10" xfId="0" applyNumberFormat="1" applyFont="1" applyFill="1" applyBorder="1" applyAlignment="1">
      <alignment vertical="center"/>
    </xf>
    <xf numFmtId="3" fontId="7" fillId="32" borderId="10" xfId="0" applyNumberFormat="1" applyFont="1" applyFill="1" applyBorder="1" applyAlignment="1">
      <alignment vertical="center"/>
    </xf>
    <xf numFmtId="0" fontId="8" fillId="32" borderId="10" xfId="0" applyFont="1" applyFill="1" applyBorder="1" applyAlignment="1">
      <alignment vertical="center"/>
    </xf>
    <xf numFmtId="0" fontId="8" fillId="32" borderId="10" xfId="0" applyFont="1" applyFill="1" applyBorder="1" applyAlignment="1" quotePrefix="1">
      <alignment horizontal="center" vertical="center"/>
    </xf>
    <xf numFmtId="0" fontId="7" fillId="32" borderId="10" xfId="0" applyFont="1" applyFill="1" applyBorder="1" applyAlignment="1">
      <alignment vertical="center"/>
    </xf>
    <xf numFmtId="0" fontId="9" fillId="32" borderId="0" xfId="0" applyFont="1" applyFill="1" applyAlignment="1">
      <alignment horizontal="right" vertical="center"/>
    </xf>
    <xf numFmtId="188" fontId="7" fillId="32" borderId="10" xfId="0" applyNumberFormat="1" applyFont="1" applyFill="1" applyBorder="1" applyAlignment="1">
      <alignment vertical="center"/>
    </xf>
    <xf numFmtId="188" fontId="8" fillId="32" borderId="10" xfId="0" applyNumberFormat="1" applyFont="1" applyFill="1" applyBorder="1" applyAlignment="1">
      <alignment vertical="center"/>
    </xf>
    <xf numFmtId="0" fontId="16" fillId="32" borderId="0" xfId="0" applyFont="1" applyFill="1" applyAlignment="1">
      <alignment horizontal="left" vertical="center"/>
    </xf>
    <xf numFmtId="0" fontId="16" fillId="32" borderId="0" xfId="0" applyFont="1" applyFill="1" applyAlignment="1">
      <alignment vertical="center"/>
    </xf>
    <xf numFmtId="3" fontId="8" fillId="32" borderId="0" xfId="0" applyNumberFormat="1" applyFont="1" applyFill="1" applyAlignment="1">
      <alignment vertical="center"/>
    </xf>
    <xf numFmtId="2" fontId="8" fillId="32" borderId="10" xfId="0" applyNumberFormat="1" applyFont="1" applyFill="1" applyBorder="1" applyAlignment="1">
      <alignment vertical="center"/>
    </xf>
    <xf numFmtId="9" fontId="7" fillId="32" borderId="10" xfId="77" applyFont="1" applyFill="1" applyBorder="1" applyAlignment="1">
      <alignment vertical="center"/>
    </xf>
    <xf numFmtId="3" fontId="8" fillId="32" borderId="10" xfId="0" applyNumberFormat="1" applyFont="1" applyFill="1" applyBorder="1" applyAlignment="1">
      <alignment horizontal="center" vertical="center"/>
    </xf>
    <xf numFmtId="9" fontId="8" fillId="32" borderId="10" xfId="77" applyFont="1" applyFill="1" applyBorder="1" applyAlignment="1">
      <alignment vertical="center"/>
    </xf>
    <xf numFmtId="0" fontId="7"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10" fillId="0" borderId="0" xfId="0" applyFont="1" applyFill="1" applyAlignment="1">
      <alignment horizontal="left" vertical="center"/>
    </xf>
    <xf numFmtId="0" fontId="11" fillId="0" borderId="0" xfId="0" applyFont="1" applyFill="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200" fontId="7" fillId="0" borderId="10" xfId="41" applyNumberFormat="1" applyFont="1" applyFill="1" applyBorder="1" applyAlignment="1">
      <alignment vertical="center"/>
    </xf>
    <xf numFmtId="3" fontId="8" fillId="0" borderId="10" xfId="0" applyNumberFormat="1" applyFont="1" applyFill="1" applyBorder="1" applyAlignment="1">
      <alignment horizontal="center" vertical="center"/>
    </xf>
    <xf numFmtId="3" fontId="8" fillId="0" borderId="10" xfId="0" applyNumberFormat="1" applyFont="1" applyFill="1" applyBorder="1" applyAlignment="1">
      <alignment vertical="center"/>
    </xf>
    <xf numFmtId="200" fontId="8" fillId="0" borderId="10" xfId="41" applyNumberFormat="1" applyFont="1" applyFill="1" applyBorder="1" applyAlignment="1">
      <alignment vertical="center"/>
    </xf>
    <xf numFmtId="200" fontId="11" fillId="0" borderId="0" xfId="0" applyNumberFormat="1" applyFont="1" applyFill="1" applyAlignment="1">
      <alignment vertical="center"/>
    </xf>
    <xf numFmtId="0" fontId="12" fillId="32" borderId="0" xfId="0" applyFont="1" applyFill="1" applyAlignment="1">
      <alignment horizontal="centerContinuous" vertical="center"/>
    </xf>
    <xf numFmtId="0" fontId="13" fillId="32" borderId="0" xfId="0" applyFont="1" applyFill="1" applyAlignment="1">
      <alignment horizontal="centerContinuous" vertical="center"/>
    </xf>
    <xf numFmtId="0" fontId="14" fillId="32" borderId="0" xfId="0" applyFont="1" applyFill="1" applyAlignment="1">
      <alignment vertical="center"/>
    </xf>
    <xf numFmtId="0" fontId="14" fillId="32" borderId="0" xfId="0" applyFont="1" applyFill="1" applyAlignment="1">
      <alignment horizontal="right" vertical="center"/>
    </xf>
    <xf numFmtId="0" fontId="9" fillId="32" borderId="0" xfId="0" applyFont="1" applyFill="1" applyAlignment="1">
      <alignment horizontal="centerContinuous" vertical="center"/>
    </xf>
    <xf numFmtId="0" fontId="37" fillId="32" borderId="0" xfId="0" applyFont="1" applyFill="1" applyAlignment="1">
      <alignment horizontal="left" vertical="center"/>
    </xf>
    <xf numFmtId="0" fontId="37" fillId="32" borderId="0" xfId="0" applyFont="1" applyFill="1" applyBorder="1" applyAlignment="1">
      <alignment horizontal="center" vertical="center"/>
    </xf>
    <xf numFmtId="0" fontId="14" fillId="32" borderId="10" xfId="0" applyFont="1" applyFill="1" applyBorder="1" applyAlignment="1">
      <alignment vertical="center"/>
    </xf>
    <xf numFmtId="3" fontId="21" fillId="32" borderId="10" xfId="0" applyNumberFormat="1" applyFont="1" applyFill="1" applyBorder="1" applyAlignment="1">
      <alignment vertical="center"/>
    </xf>
    <xf numFmtId="0" fontId="24" fillId="0" borderId="0" xfId="0" applyFont="1" applyAlignment="1">
      <alignment horizontal="centerContinuous" vertical="center"/>
    </xf>
    <xf numFmtId="0" fontId="25" fillId="0" borderId="0" xfId="0" applyFont="1" applyAlignment="1">
      <alignment horizontal="centerContinuous" vertical="center"/>
    </xf>
    <xf numFmtId="0" fontId="25" fillId="0" borderId="0" xfId="0" applyFont="1" applyAlignment="1">
      <alignment vertical="center"/>
    </xf>
    <xf numFmtId="0" fontId="24" fillId="0" borderId="0" xfId="0" applyFont="1" applyAlignment="1">
      <alignment horizontal="right" vertical="center"/>
    </xf>
    <xf numFmtId="0" fontId="27" fillId="0" borderId="0" xfId="0" applyFont="1" applyAlignment="1">
      <alignment horizontal="centerContinuous" vertical="center"/>
    </xf>
    <xf numFmtId="0" fontId="29" fillId="0" borderId="0" xfId="0" applyFont="1" applyAlignment="1" quotePrefix="1">
      <alignment horizontal="centerContinuous" vertical="center"/>
    </xf>
    <xf numFmtId="0" fontId="27" fillId="0" borderId="0" xfId="0" applyFont="1" applyAlignment="1">
      <alignment horizontal="left" vertical="center"/>
    </xf>
    <xf numFmtId="0" fontId="27" fillId="0" borderId="0" xfId="0" applyFont="1" applyBorder="1" applyAlignment="1">
      <alignment horizontal="center" vertical="center"/>
    </xf>
    <xf numFmtId="0" fontId="24" fillId="0" borderId="10" xfId="0" applyFont="1" applyBorder="1" applyAlignment="1">
      <alignment vertical="center"/>
    </xf>
    <xf numFmtId="3" fontId="24" fillId="0" borderId="10" xfId="0" applyNumberFormat="1" applyFont="1" applyBorder="1" applyAlignment="1">
      <alignment vertical="center"/>
    </xf>
    <xf numFmtId="0" fontId="25" fillId="0" borderId="10" xfId="0" applyFont="1" applyBorder="1" applyAlignment="1">
      <alignment horizontal="center" vertical="center"/>
    </xf>
    <xf numFmtId="0" fontId="25" fillId="0" borderId="10" xfId="0" applyFont="1" applyBorder="1" applyAlignment="1">
      <alignment vertical="center"/>
    </xf>
    <xf numFmtId="3" fontId="25" fillId="0" borderId="10" xfId="0" applyNumberFormat="1" applyFont="1" applyBorder="1" applyAlignment="1">
      <alignment vertical="center"/>
    </xf>
    <xf numFmtId="0" fontId="16" fillId="32" borderId="0" xfId="0" applyFont="1" applyFill="1" applyAlignment="1">
      <alignment horizontal="centerContinuous" vertical="center"/>
    </xf>
    <xf numFmtId="3" fontId="21" fillId="32" borderId="10" xfId="0" applyNumberFormat="1" applyFont="1" applyFill="1" applyBorder="1" applyAlignment="1">
      <alignment horizontal="center" vertical="center"/>
    </xf>
    <xf numFmtId="0" fontId="9" fillId="32" borderId="0" xfId="0" applyFont="1" applyFill="1" applyAlignment="1">
      <alignment horizontal="left" vertical="center"/>
    </xf>
    <xf numFmtId="3" fontId="7" fillId="32" borderId="10" xfId="0" applyNumberFormat="1" applyFont="1" applyFill="1" applyBorder="1" applyAlignment="1">
      <alignment horizontal="center" vertical="center"/>
    </xf>
    <xf numFmtId="204" fontId="8" fillId="32" borderId="10" xfId="41" applyNumberFormat="1" applyFont="1" applyFill="1" applyBorder="1" applyAlignment="1">
      <alignment vertical="center"/>
    </xf>
    <xf numFmtId="0" fontId="28" fillId="0" borderId="0" xfId="0" applyFont="1" applyAlignment="1">
      <alignment vertical="center"/>
    </xf>
    <xf numFmtId="0" fontId="30" fillId="32" borderId="0" xfId="0" applyFont="1" applyFill="1" applyAlignment="1">
      <alignment horizontal="right" vertical="center"/>
    </xf>
    <xf numFmtId="197" fontId="7" fillId="0" borderId="10" xfId="71" applyNumberFormat="1" applyFont="1" applyFill="1" applyBorder="1" applyAlignment="1" applyProtection="1">
      <alignment horizontal="center" vertical="center"/>
      <protection/>
    </xf>
    <xf numFmtId="197" fontId="7" fillId="0" borderId="10" xfId="71" applyNumberFormat="1" applyFont="1" applyFill="1" applyBorder="1" applyAlignment="1">
      <alignment horizontal="left" vertical="center"/>
      <protection/>
    </xf>
    <xf numFmtId="3" fontId="7" fillId="0" borderId="10" xfId="41" applyNumberFormat="1" applyFont="1" applyFill="1" applyBorder="1" applyAlignment="1">
      <alignment vertical="center"/>
    </xf>
    <xf numFmtId="4" fontId="7" fillId="0" borderId="10" xfId="41" applyNumberFormat="1" applyFont="1" applyFill="1" applyBorder="1" applyAlignment="1">
      <alignment vertical="center"/>
    </xf>
    <xf numFmtId="197" fontId="8" fillId="0" borderId="10" xfId="71" applyNumberFormat="1" applyFont="1" applyFill="1" applyBorder="1" applyAlignment="1">
      <alignment horizontal="center" vertical="center"/>
      <protection/>
    </xf>
    <xf numFmtId="197" fontId="8" fillId="0" borderId="10" xfId="71" applyNumberFormat="1" applyFont="1" applyFill="1" applyBorder="1" applyAlignment="1" applyProtection="1">
      <alignment horizontal="left" vertical="center"/>
      <protection/>
    </xf>
    <xf numFmtId="3" fontId="8" fillId="0" borderId="10" xfId="71" applyNumberFormat="1" applyFont="1" applyFill="1" applyBorder="1" applyAlignment="1">
      <alignment horizontal="right" vertical="center"/>
      <protection/>
    </xf>
    <xf numFmtId="4" fontId="8" fillId="0" borderId="10" xfId="41" applyNumberFormat="1" applyFont="1" applyFill="1" applyBorder="1" applyAlignment="1">
      <alignment vertical="center"/>
    </xf>
    <xf numFmtId="197" fontId="8" fillId="0" borderId="10" xfId="71" applyNumberFormat="1" applyFont="1" applyFill="1" applyBorder="1" applyAlignment="1" quotePrefix="1">
      <alignment horizontal="center" vertical="center"/>
      <protection/>
    </xf>
    <xf numFmtId="0" fontId="37" fillId="32" borderId="12" xfId="0" applyFont="1" applyFill="1" applyBorder="1" applyAlignment="1">
      <alignment vertical="center"/>
    </xf>
    <xf numFmtId="0" fontId="21" fillId="32" borderId="12" xfId="0" applyFont="1" applyFill="1" applyBorder="1" applyAlignment="1">
      <alignment horizontal="right" vertical="center"/>
    </xf>
    <xf numFmtId="200" fontId="14" fillId="32" borderId="10" xfId="41" applyNumberFormat="1" applyFont="1" applyFill="1" applyBorder="1" applyAlignment="1">
      <alignment vertical="center"/>
    </xf>
    <xf numFmtId="200" fontId="14" fillId="32" borderId="13" xfId="41" applyNumberFormat="1" applyFont="1" applyFill="1" applyBorder="1" applyAlignment="1">
      <alignment vertical="center"/>
    </xf>
    <xf numFmtId="200" fontId="21" fillId="32" borderId="10" xfId="41" applyNumberFormat="1" applyFont="1" applyFill="1" applyBorder="1" applyAlignment="1">
      <alignment vertical="center"/>
    </xf>
    <xf numFmtId="173" fontId="21" fillId="32" borderId="14" xfId="41" applyFont="1" applyFill="1" applyBorder="1" applyAlignment="1">
      <alignment vertical="center"/>
    </xf>
    <xf numFmtId="173" fontId="21" fillId="32" borderId="15" xfId="41" applyFont="1" applyFill="1" applyBorder="1" applyAlignment="1">
      <alignment vertical="center"/>
    </xf>
    <xf numFmtId="0" fontId="7" fillId="0" borderId="0" xfId="66" applyFont="1" applyFill="1" applyAlignment="1">
      <alignment horizontal="centerContinuous" vertical="center"/>
      <protection/>
    </xf>
    <xf numFmtId="0" fontId="8" fillId="0" borderId="0" xfId="66" applyFont="1" applyFill="1" applyAlignment="1">
      <alignment horizontal="centerContinuous" vertical="center"/>
      <protection/>
    </xf>
    <xf numFmtId="0" fontId="8" fillId="0" borderId="0" xfId="66" applyFont="1" applyFill="1" applyAlignment="1">
      <alignment vertical="center"/>
      <protection/>
    </xf>
    <xf numFmtId="0" fontId="7" fillId="0" borderId="0" xfId="66" applyFont="1" applyFill="1" applyAlignment="1">
      <alignment horizontal="right" vertical="center"/>
      <protection/>
    </xf>
    <xf numFmtId="0" fontId="12" fillId="0" borderId="0" xfId="66" applyFont="1" applyFill="1" applyAlignment="1">
      <alignment horizontal="centerContinuous" vertical="center"/>
      <protection/>
    </xf>
    <xf numFmtId="0" fontId="13" fillId="0" borderId="0" xfId="66" applyFont="1" applyFill="1" applyAlignment="1">
      <alignment horizontal="centerContinuous" vertical="center"/>
      <protection/>
    </xf>
    <xf numFmtId="0" fontId="13" fillId="0" borderId="0" xfId="66" applyFont="1" applyFill="1" applyAlignment="1">
      <alignment vertical="center"/>
      <protection/>
    </xf>
    <xf numFmtId="0" fontId="16" fillId="0" borderId="0" xfId="66" applyFont="1" applyFill="1" applyAlignment="1">
      <alignment horizontal="centerContinuous" vertical="center"/>
      <protection/>
    </xf>
    <xf numFmtId="0" fontId="7" fillId="0" borderId="0" xfId="66" applyFont="1" applyFill="1" applyAlignment="1" quotePrefix="1">
      <alignment horizontal="centerContinuous" vertical="center"/>
      <protection/>
    </xf>
    <xf numFmtId="0" fontId="10" fillId="0" borderId="0" xfId="66" applyFont="1" applyFill="1" applyAlignment="1">
      <alignment horizontal="left" vertical="center"/>
      <protection/>
    </xf>
    <xf numFmtId="0" fontId="11" fillId="0" borderId="0" xfId="66" applyFont="1" applyFill="1" applyAlignment="1">
      <alignment vertical="center"/>
      <protection/>
    </xf>
    <xf numFmtId="0" fontId="16" fillId="0" borderId="0" xfId="66" applyFont="1" applyFill="1" applyBorder="1" applyAlignment="1">
      <alignment horizontal="right" vertical="center"/>
      <protection/>
    </xf>
    <xf numFmtId="0" fontId="24" fillId="0" borderId="10" xfId="66" applyFont="1" applyFill="1" applyBorder="1" applyAlignment="1">
      <alignment horizontal="center" vertical="center"/>
      <protection/>
    </xf>
    <xf numFmtId="0" fontId="24" fillId="0" borderId="10" xfId="66" applyFont="1" applyFill="1" applyBorder="1" applyAlignment="1">
      <alignment vertical="center"/>
      <protection/>
    </xf>
    <xf numFmtId="200" fontId="24" fillId="0" borderId="10" xfId="41" applyNumberFormat="1" applyFont="1" applyFill="1" applyBorder="1" applyAlignment="1">
      <alignment vertical="center"/>
    </xf>
    <xf numFmtId="3" fontId="11" fillId="0" borderId="0" xfId="66" applyNumberFormat="1" applyFont="1" applyFill="1" applyAlignment="1">
      <alignment vertical="center"/>
      <protection/>
    </xf>
    <xf numFmtId="200" fontId="11" fillId="0" borderId="0" xfId="66" applyNumberFormat="1" applyFont="1" applyFill="1" applyAlignment="1">
      <alignment vertical="center"/>
      <protection/>
    </xf>
    <xf numFmtId="3" fontId="25" fillId="0" borderId="10" xfId="0" applyNumberFormat="1" applyFont="1" applyFill="1" applyBorder="1" applyAlignment="1">
      <alignment horizontal="center" vertical="center"/>
    </xf>
    <xf numFmtId="3" fontId="25" fillId="0" borderId="10" xfId="0" applyNumberFormat="1" applyFont="1" applyFill="1" applyBorder="1" applyAlignment="1">
      <alignment vertical="center"/>
    </xf>
    <xf numFmtId="200" fontId="25" fillId="0" borderId="10" xfId="41" applyNumberFormat="1" applyFont="1" applyFill="1" applyBorder="1" applyAlignment="1">
      <alignment vertical="center"/>
    </xf>
    <xf numFmtId="0" fontId="11" fillId="32" borderId="0" xfId="72" applyFont="1" applyFill="1" applyAlignment="1">
      <alignment vertical="center"/>
      <protection/>
    </xf>
    <xf numFmtId="0" fontId="11" fillId="32" borderId="0" xfId="72" applyNumberFormat="1" applyFont="1" applyFill="1" applyAlignment="1">
      <alignment vertical="center"/>
      <protection/>
    </xf>
    <xf numFmtId="0" fontId="11" fillId="32" borderId="0" xfId="72" applyFont="1" applyFill="1" applyAlignment="1">
      <alignment horizontal="right" vertical="center"/>
      <protection/>
    </xf>
    <xf numFmtId="0" fontId="8" fillId="32" borderId="0" xfId="72" applyNumberFormat="1" applyFont="1" applyFill="1" applyAlignment="1">
      <alignment vertical="center"/>
      <protection/>
    </xf>
    <xf numFmtId="0" fontId="8" fillId="32" borderId="0" xfId="72" applyFont="1" applyFill="1" applyAlignment="1">
      <alignment horizontal="right" vertical="center" wrapText="1"/>
      <protection/>
    </xf>
    <xf numFmtId="200" fontId="11" fillId="32" borderId="0" xfId="72" applyNumberFormat="1" applyFont="1" applyFill="1" applyAlignment="1">
      <alignment vertical="center"/>
      <protection/>
    </xf>
    <xf numFmtId="0" fontId="16" fillId="32" borderId="12" xfId="67" applyFont="1" applyFill="1" applyBorder="1" applyAlignment="1">
      <alignment vertical="center"/>
      <protection/>
    </xf>
    <xf numFmtId="0" fontId="10" fillId="32" borderId="0" xfId="67" applyFont="1" applyFill="1" applyBorder="1" applyAlignment="1">
      <alignment vertical="center"/>
      <protection/>
    </xf>
    <xf numFmtId="0" fontId="7" fillId="32" borderId="0" xfId="72" applyNumberFormat="1" applyFont="1" applyFill="1" applyAlignment="1">
      <alignment horizontal="center" vertical="center" wrapText="1"/>
      <protection/>
    </xf>
    <xf numFmtId="0" fontId="8" fillId="32" borderId="0" xfId="72" applyNumberFormat="1" applyFont="1" applyFill="1" applyAlignment="1">
      <alignment horizontal="center" vertical="center" wrapText="1"/>
      <protection/>
    </xf>
    <xf numFmtId="0" fontId="7" fillId="32" borderId="10" xfId="72" applyFont="1" applyFill="1" applyBorder="1" applyAlignment="1">
      <alignment vertical="center"/>
      <protection/>
    </xf>
    <xf numFmtId="4" fontId="7" fillId="32" borderId="10" xfId="43" applyNumberFormat="1" applyFont="1" applyFill="1" applyBorder="1" applyAlignment="1">
      <alignment vertical="center"/>
    </xf>
    <xf numFmtId="4" fontId="7" fillId="32" borderId="0" xfId="72" applyNumberFormat="1" applyFont="1" applyFill="1" applyAlignment="1">
      <alignment vertical="center"/>
      <protection/>
    </xf>
    <xf numFmtId="0" fontId="7" fillId="32" borderId="0" xfId="72" applyNumberFormat="1" applyFont="1" applyFill="1" applyAlignment="1">
      <alignment vertical="center"/>
      <protection/>
    </xf>
    <xf numFmtId="3" fontId="7" fillId="32" borderId="0" xfId="72" applyNumberFormat="1" applyFont="1" applyFill="1" applyAlignment="1">
      <alignment horizontal="right" vertical="center" wrapText="1"/>
      <protection/>
    </xf>
    <xf numFmtId="0" fontId="8" fillId="32" borderId="10" xfId="72" applyFont="1" applyFill="1" applyBorder="1" applyAlignment="1">
      <alignment horizontal="center" vertical="center"/>
      <protection/>
    </xf>
    <xf numFmtId="0" fontId="8" fillId="32" borderId="10" xfId="72" applyFont="1" applyFill="1" applyBorder="1" applyAlignment="1">
      <alignment vertical="center"/>
      <protection/>
    </xf>
    <xf numFmtId="4" fontId="8" fillId="32" borderId="10" xfId="43" applyNumberFormat="1" applyFont="1" applyFill="1" applyBorder="1" applyAlignment="1">
      <alignment vertical="center"/>
    </xf>
    <xf numFmtId="3" fontId="8" fillId="32" borderId="0" xfId="72" applyNumberFormat="1" applyFont="1" applyFill="1" applyAlignment="1">
      <alignment horizontal="right" vertical="center" wrapText="1"/>
      <protection/>
    </xf>
    <xf numFmtId="0" fontId="8" fillId="32" borderId="10" xfId="72" applyFont="1" applyFill="1" applyBorder="1" applyAlignment="1">
      <alignment horizontal="left" vertical="center" wrapText="1"/>
      <protection/>
    </xf>
    <xf numFmtId="0" fontId="23" fillId="32" borderId="0" xfId="72" applyNumberFormat="1" applyFont="1" applyFill="1" applyAlignment="1">
      <alignment vertical="center"/>
      <protection/>
    </xf>
    <xf numFmtId="0" fontId="23" fillId="32" borderId="0" xfId="72" applyFont="1" applyFill="1" applyAlignment="1">
      <alignment horizontal="right" vertical="center" wrapText="1"/>
      <protection/>
    </xf>
    <xf numFmtId="0" fontId="16" fillId="32" borderId="0" xfId="0" applyFont="1" applyFill="1" applyBorder="1" applyAlignment="1">
      <alignment horizontal="center" vertical="center"/>
    </xf>
    <xf numFmtId="0" fontId="7" fillId="32" borderId="0" xfId="0" applyFont="1" applyFill="1" applyAlignment="1">
      <alignment horizontal="center" vertical="center"/>
    </xf>
    <xf numFmtId="0" fontId="93" fillId="32" borderId="0" xfId="0" applyFont="1" applyFill="1" applyAlignment="1">
      <alignment horizontal="centerContinuous" vertical="center"/>
    </xf>
    <xf numFmtId="0" fontId="86" fillId="32" borderId="0" xfId="0" applyFont="1" applyFill="1" applyAlignment="1">
      <alignment horizontal="right" vertical="center"/>
    </xf>
    <xf numFmtId="0" fontId="86" fillId="32" borderId="0" xfId="0" applyFont="1" applyFill="1" applyAlignment="1">
      <alignment horizontal="centerContinuous" vertical="center"/>
    </xf>
    <xf numFmtId="0" fontId="86" fillId="32" borderId="0" xfId="0" applyFont="1" applyFill="1" applyAlignment="1">
      <alignment vertical="center"/>
    </xf>
    <xf numFmtId="0" fontId="93" fillId="32" borderId="0" xfId="0" applyFont="1" applyFill="1" applyAlignment="1">
      <alignment horizontal="right" vertical="center"/>
    </xf>
    <xf numFmtId="0" fontId="94" fillId="32" borderId="0" xfId="0" applyFont="1" applyFill="1" applyAlignment="1">
      <alignment horizontal="left" vertical="center"/>
    </xf>
    <xf numFmtId="0" fontId="95" fillId="32" borderId="0" xfId="0" applyFont="1" applyFill="1" applyAlignment="1">
      <alignment vertical="center"/>
    </xf>
    <xf numFmtId="0" fontId="96" fillId="32" borderId="10" xfId="0" applyFont="1" applyFill="1" applyBorder="1" applyAlignment="1">
      <alignment horizontal="center" vertical="center"/>
    </xf>
    <xf numFmtId="0" fontId="97" fillId="32" borderId="10" xfId="0" applyFont="1" applyFill="1" applyBorder="1" applyAlignment="1">
      <alignment horizontal="center" vertical="center"/>
    </xf>
    <xf numFmtId="0" fontId="98" fillId="32" borderId="10" xfId="0" applyFont="1" applyFill="1" applyBorder="1" applyAlignment="1">
      <alignment vertical="center"/>
    </xf>
    <xf numFmtId="3" fontId="97" fillId="32" borderId="10" xfId="0" applyNumberFormat="1" applyFont="1" applyFill="1" applyBorder="1" applyAlignment="1">
      <alignment vertical="center"/>
    </xf>
    <xf numFmtId="188" fontId="97" fillId="32" borderId="10" xfId="0" applyNumberFormat="1" applyFont="1" applyFill="1" applyBorder="1" applyAlignment="1">
      <alignment vertical="center"/>
    </xf>
    <xf numFmtId="0" fontId="97" fillId="32" borderId="10" xfId="0" applyFont="1" applyFill="1" applyBorder="1" applyAlignment="1">
      <alignment vertical="center"/>
    </xf>
    <xf numFmtId="0" fontId="95" fillId="32" borderId="10" xfId="0" applyFont="1" applyFill="1" applyBorder="1" applyAlignment="1" quotePrefix="1">
      <alignment horizontal="center" vertical="center"/>
    </xf>
    <xf numFmtId="0" fontId="95" fillId="32" borderId="10" xfId="0" applyFont="1" applyFill="1" applyBorder="1" applyAlignment="1">
      <alignment vertical="center"/>
    </xf>
    <xf numFmtId="3" fontId="95" fillId="32" borderId="10" xfId="0" applyNumberFormat="1" applyFont="1" applyFill="1" applyBorder="1" applyAlignment="1">
      <alignment vertical="center"/>
    </xf>
    <xf numFmtId="188" fontId="95" fillId="32" borderId="10" xfId="0" applyNumberFormat="1" applyFont="1" applyFill="1" applyBorder="1" applyAlignment="1">
      <alignment vertical="center"/>
    </xf>
    <xf numFmtId="0" fontId="95" fillId="32" borderId="10" xfId="0" applyFont="1" applyFill="1" applyBorder="1" applyAlignment="1">
      <alignment horizontal="center" vertical="center"/>
    </xf>
    <xf numFmtId="0" fontId="97" fillId="32" borderId="0" xfId="0" applyFont="1" applyFill="1" applyAlignment="1">
      <alignment horizontal="centerContinuous" vertical="center"/>
    </xf>
    <xf numFmtId="0" fontId="97" fillId="32" borderId="0" xfId="0" applyFont="1" applyFill="1" applyAlignment="1">
      <alignment horizontal="right" vertical="center"/>
    </xf>
    <xf numFmtId="0" fontId="86" fillId="32" borderId="0" xfId="0" applyFont="1" applyFill="1" applyAlignment="1">
      <alignment/>
    </xf>
    <xf numFmtId="0" fontId="94" fillId="32" borderId="0" xfId="0" applyFont="1" applyFill="1" applyAlignment="1">
      <alignment/>
    </xf>
    <xf numFmtId="0" fontId="93" fillId="32" borderId="10" xfId="0" applyFont="1" applyFill="1" applyBorder="1" applyAlignment="1">
      <alignment horizontal="center" vertical="center"/>
    </xf>
    <xf numFmtId="0" fontId="93" fillId="32" borderId="10" xfId="0" applyFont="1" applyFill="1" applyBorder="1" applyAlignment="1">
      <alignment vertical="center"/>
    </xf>
    <xf numFmtId="3" fontId="93" fillId="32" borderId="10" xfId="0" applyNumberFormat="1" applyFont="1" applyFill="1" applyBorder="1" applyAlignment="1">
      <alignment vertical="center"/>
    </xf>
    <xf numFmtId="188" fontId="93" fillId="32" borderId="10" xfId="0" applyNumberFormat="1" applyFont="1" applyFill="1" applyBorder="1" applyAlignment="1">
      <alignment vertical="center"/>
    </xf>
    <xf numFmtId="3" fontId="86" fillId="32" borderId="0" xfId="0" applyNumberFormat="1" applyFont="1" applyFill="1" applyAlignment="1">
      <alignment/>
    </xf>
    <xf numFmtId="0" fontId="86" fillId="32" borderId="10" xfId="0" applyFont="1" applyFill="1" applyBorder="1" applyAlignment="1">
      <alignment horizontal="center" vertical="center"/>
    </xf>
    <xf numFmtId="0" fontId="86" fillId="32" borderId="10" xfId="0" applyFont="1" applyFill="1" applyBorder="1" applyAlignment="1">
      <alignment vertical="center"/>
    </xf>
    <xf numFmtId="3" fontId="86" fillId="32" borderId="10" xfId="0" applyNumberFormat="1" applyFont="1" applyFill="1" applyBorder="1" applyAlignment="1">
      <alignment vertical="center"/>
    </xf>
    <xf numFmtId="188" fontId="86" fillId="32" borderId="10" xfId="0" applyNumberFormat="1" applyFont="1" applyFill="1" applyBorder="1" applyAlignment="1">
      <alignment vertical="center"/>
    </xf>
    <xf numFmtId="0" fontId="86" fillId="32" borderId="10" xfId="0" applyFont="1" applyFill="1" applyBorder="1" applyAlignment="1" quotePrefix="1">
      <alignment horizontal="center" vertical="center"/>
    </xf>
    <xf numFmtId="0" fontId="99" fillId="32" borderId="10" xfId="0" applyFont="1" applyFill="1" applyBorder="1" applyAlignment="1">
      <alignment vertical="center"/>
    </xf>
    <xf numFmtId="0" fontId="86" fillId="32" borderId="10" xfId="62" applyFont="1" applyFill="1" applyBorder="1" applyAlignment="1">
      <alignment vertical="center" wrapText="1"/>
      <protection/>
    </xf>
    <xf numFmtId="0" fontId="86" fillId="32" borderId="10" xfId="0" applyFont="1" applyFill="1" applyBorder="1" applyAlignment="1">
      <alignment horizontal="center" vertical="center" wrapText="1"/>
    </xf>
    <xf numFmtId="0" fontId="86" fillId="32" borderId="10" xfId="0" applyFont="1" applyFill="1" applyBorder="1" applyAlignment="1">
      <alignment vertical="center" wrapText="1"/>
    </xf>
    <xf numFmtId="3" fontId="86" fillId="32" borderId="10" xfId="0" applyNumberFormat="1" applyFont="1" applyFill="1" applyBorder="1" applyAlignment="1">
      <alignment vertical="center" wrapText="1"/>
    </xf>
    <xf numFmtId="0" fontId="96" fillId="32" borderId="0" xfId="0" applyFont="1" applyFill="1" applyAlignment="1">
      <alignment vertical="center"/>
    </xf>
    <xf numFmtId="3" fontId="86" fillId="32" borderId="10" xfId="0" applyNumberFormat="1" applyFont="1" applyFill="1" applyBorder="1" applyAlignment="1">
      <alignment horizontal="right" vertical="center"/>
    </xf>
    <xf numFmtId="0" fontId="100" fillId="32" borderId="0" xfId="0" applyFont="1" applyFill="1" applyAlignment="1">
      <alignment horizontal="centerContinuous" vertical="center"/>
    </xf>
    <xf numFmtId="0" fontId="101" fillId="32" borderId="0" xfId="0" applyFont="1" applyFill="1" applyAlignment="1">
      <alignment horizontal="centerContinuous" vertical="center"/>
    </xf>
    <xf numFmtId="0" fontId="101" fillId="32" borderId="0" xfId="0" applyFont="1" applyFill="1" applyAlignment="1">
      <alignment/>
    </xf>
    <xf numFmtId="0" fontId="93" fillId="32" borderId="16" xfId="0" applyNumberFormat="1" applyFont="1" applyFill="1" applyBorder="1" applyAlignment="1">
      <alignment horizontal="center" vertical="center" wrapText="1"/>
    </xf>
    <xf numFmtId="0" fontId="95" fillId="32" borderId="0" xfId="0" applyFont="1" applyFill="1" applyAlignment="1">
      <alignment/>
    </xf>
    <xf numFmtId="3" fontId="102" fillId="32" borderId="10" xfId="0" applyNumberFormat="1" applyFont="1" applyFill="1" applyBorder="1" applyAlignment="1">
      <alignment vertical="center"/>
    </xf>
    <xf numFmtId="0" fontId="94" fillId="32" borderId="0" xfId="0" applyFont="1" applyFill="1" applyAlignment="1">
      <alignment/>
    </xf>
    <xf numFmtId="0" fontId="103" fillId="32" borderId="10" xfId="0" applyFont="1" applyFill="1" applyBorder="1" applyAlignment="1">
      <alignment vertical="center"/>
    </xf>
    <xf numFmtId="3" fontId="103" fillId="32" borderId="10" xfId="0" applyNumberFormat="1" applyFont="1" applyFill="1" applyBorder="1" applyAlignment="1">
      <alignment vertical="center"/>
    </xf>
    <xf numFmtId="3" fontId="95" fillId="32" borderId="0" xfId="0" applyNumberFormat="1" applyFont="1" applyFill="1" applyAlignment="1">
      <alignment/>
    </xf>
    <xf numFmtId="3" fontId="86" fillId="32" borderId="10" xfId="0" applyNumberFormat="1" applyFont="1" applyFill="1" applyBorder="1" applyAlignment="1">
      <alignment horizontal="left" vertical="center" wrapText="1"/>
    </xf>
    <xf numFmtId="3" fontId="86" fillId="32" borderId="10" xfId="0" applyNumberFormat="1" applyFont="1" applyFill="1" applyBorder="1" applyAlignment="1">
      <alignment horizontal="left" vertical="center"/>
    </xf>
    <xf numFmtId="0" fontId="103" fillId="32" borderId="0" xfId="0" applyFont="1" applyFill="1" applyAlignment="1">
      <alignment horizontal="left" vertical="center"/>
    </xf>
    <xf numFmtId="0" fontId="86" fillId="32" borderId="0" xfId="0" applyFont="1" applyFill="1" applyBorder="1" applyAlignment="1">
      <alignment horizontal="right" vertical="center"/>
    </xf>
    <xf numFmtId="3" fontId="93" fillId="32" borderId="10" xfId="0" applyNumberFormat="1" applyFont="1" applyFill="1" applyBorder="1" applyAlignment="1">
      <alignment horizontal="right" vertical="center"/>
    </xf>
    <xf numFmtId="198" fontId="86" fillId="32" borderId="10" xfId="74" applyNumberFormat="1" applyFont="1" applyFill="1" applyBorder="1" applyAlignment="1">
      <alignment vertical="center" wrapText="1"/>
      <protection/>
    </xf>
    <xf numFmtId="0" fontId="97" fillId="32" borderId="17" xfId="0" applyFont="1" applyFill="1" applyBorder="1" applyAlignment="1">
      <alignment horizontal="center" vertical="center"/>
    </xf>
    <xf numFmtId="0" fontId="97" fillId="32" borderId="17" xfId="0" applyFont="1" applyFill="1" applyBorder="1" applyAlignment="1">
      <alignment vertical="center"/>
    </xf>
    <xf numFmtId="3" fontId="97" fillId="32" borderId="17" xfId="0" applyNumberFormat="1" applyFont="1" applyFill="1" applyBorder="1" applyAlignment="1">
      <alignment vertical="center"/>
    </xf>
    <xf numFmtId="3" fontId="8" fillId="32" borderId="17" xfId="0" applyNumberFormat="1" applyFont="1" applyFill="1" applyBorder="1" applyAlignment="1">
      <alignment vertical="center"/>
    </xf>
    <xf numFmtId="0" fontId="23"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0" fontId="36" fillId="32" borderId="0" xfId="0" applyFont="1" applyFill="1" applyBorder="1" applyAlignment="1">
      <alignment/>
    </xf>
    <xf numFmtId="3" fontId="8" fillId="32" borderId="17" xfId="0" applyNumberFormat="1" applyFont="1" applyFill="1" applyBorder="1" applyAlignment="1">
      <alignment horizontal="center" vertical="center"/>
    </xf>
    <xf numFmtId="9" fontId="8" fillId="32" borderId="17" xfId="77" applyFont="1" applyFill="1" applyBorder="1" applyAlignment="1">
      <alignment vertical="center"/>
    </xf>
    <xf numFmtId="3" fontId="8" fillId="0" borderId="17" xfId="0" applyNumberFormat="1" applyFont="1" applyFill="1" applyBorder="1" applyAlignment="1">
      <alignment horizontal="center" vertical="center"/>
    </xf>
    <xf numFmtId="3" fontId="8" fillId="0" borderId="17" xfId="0" applyNumberFormat="1" applyFont="1" applyFill="1" applyBorder="1" applyAlignment="1">
      <alignment vertical="center"/>
    </xf>
    <xf numFmtId="200" fontId="8" fillId="0" borderId="17" xfId="41" applyNumberFormat="1" applyFont="1" applyFill="1" applyBorder="1" applyAlignment="1">
      <alignment vertical="center"/>
    </xf>
    <xf numFmtId="0" fontId="93" fillId="32" borderId="17" xfId="0" applyFont="1" applyFill="1" applyBorder="1" applyAlignment="1">
      <alignment horizontal="center" vertical="center"/>
    </xf>
    <xf numFmtId="0" fontId="93" fillId="32" borderId="17" xfId="0" applyFont="1" applyFill="1" applyBorder="1" applyAlignment="1">
      <alignment vertical="center"/>
    </xf>
    <xf numFmtId="3" fontId="102" fillId="32" borderId="17" xfId="0" applyNumberFormat="1" applyFont="1" applyFill="1" applyBorder="1" applyAlignment="1">
      <alignment vertical="center"/>
    </xf>
    <xf numFmtId="3" fontId="25" fillId="0" borderId="17" xfId="0" applyNumberFormat="1" applyFont="1" applyFill="1" applyBorder="1" applyAlignment="1">
      <alignment horizontal="center" vertical="center"/>
    </xf>
    <xf numFmtId="3" fontId="25" fillId="0" borderId="17" xfId="0" applyNumberFormat="1" applyFont="1" applyFill="1" applyBorder="1" applyAlignment="1">
      <alignment vertical="center"/>
    </xf>
    <xf numFmtId="200" fontId="25" fillId="0" borderId="17" xfId="41" applyNumberFormat="1" applyFont="1" applyFill="1" applyBorder="1" applyAlignment="1">
      <alignment vertical="center"/>
    </xf>
    <xf numFmtId="3" fontId="21" fillId="32" borderId="17" xfId="0" applyNumberFormat="1" applyFont="1" applyFill="1" applyBorder="1" applyAlignment="1">
      <alignment horizontal="center" vertical="center"/>
    </xf>
    <xf numFmtId="3" fontId="21" fillId="32" borderId="17" xfId="0" applyNumberFormat="1" applyFont="1" applyFill="1" applyBorder="1" applyAlignment="1">
      <alignment vertical="center"/>
    </xf>
    <xf numFmtId="200" fontId="21" fillId="32" borderId="17" xfId="41" applyNumberFormat="1" applyFont="1" applyFill="1" applyBorder="1" applyAlignment="1">
      <alignment vertical="center"/>
    </xf>
    <xf numFmtId="204" fontId="8" fillId="32" borderId="17" xfId="41" applyNumberFormat="1" applyFont="1" applyFill="1" applyBorder="1" applyAlignment="1">
      <alignment vertical="center"/>
    </xf>
    <xf numFmtId="200" fontId="8" fillId="32" borderId="17" xfId="41" applyNumberFormat="1" applyFont="1" applyFill="1" applyBorder="1" applyAlignment="1">
      <alignment vertical="center"/>
    </xf>
    <xf numFmtId="0" fontId="8" fillId="32" borderId="17" xfId="0" applyFont="1" applyFill="1" applyBorder="1" applyAlignment="1">
      <alignment horizontal="center" vertical="center" wrapText="1"/>
    </xf>
    <xf numFmtId="3" fontId="8" fillId="32" borderId="17" xfId="0" applyNumberFormat="1" applyFont="1" applyFill="1" applyBorder="1" applyAlignment="1">
      <alignment/>
    </xf>
    <xf numFmtId="3" fontId="8" fillId="32" borderId="17" xfId="41" applyNumberFormat="1" applyFont="1" applyFill="1" applyBorder="1" applyAlignment="1">
      <alignment horizontal="right" vertical="center" wrapText="1"/>
    </xf>
    <xf numFmtId="3" fontId="8" fillId="32" borderId="17" xfId="41" applyNumberFormat="1" applyFont="1" applyFill="1" applyBorder="1" applyAlignment="1">
      <alignment horizontal="right"/>
    </xf>
    <xf numFmtId="3" fontId="7" fillId="32" borderId="10" xfId="46" applyNumberFormat="1" applyFont="1" applyFill="1" applyBorder="1" applyAlignment="1">
      <alignment horizontal="right" vertical="center"/>
    </xf>
    <xf numFmtId="3" fontId="8" fillId="32" borderId="10" xfId="46" applyNumberFormat="1" applyFont="1" applyFill="1" applyBorder="1" applyAlignment="1">
      <alignment horizontal="right" vertical="center"/>
    </xf>
    <xf numFmtId="3" fontId="8" fillId="0" borderId="10" xfId="46" applyNumberFormat="1" applyFont="1" applyFill="1" applyBorder="1" applyAlignment="1">
      <alignment horizontal="right" vertical="center"/>
    </xf>
    <xf numFmtId="3" fontId="86" fillId="0" borderId="10" xfId="0" applyNumberFormat="1" applyFont="1" applyFill="1" applyBorder="1" applyAlignment="1">
      <alignment vertical="center"/>
    </xf>
    <xf numFmtId="0" fontId="104" fillId="32" borderId="10" xfId="0" applyFont="1" applyFill="1" applyBorder="1" applyAlignment="1">
      <alignment vertical="center"/>
    </xf>
    <xf numFmtId="0" fontId="7" fillId="32" borderId="10" xfId="0" applyFont="1" applyFill="1" applyBorder="1" applyAlignment="1">
      <alignment horizontal="center" vertical="center"/>
    </xf>
    <xf numFmtId="0" fontId="7" fillId="32" borderId="10" xfId="0" applyFont="1" applyFill="1" applyBorder="1" applyAlignment="1">
      <alignment horizontal="center" vertical="center" wrapText="1"/>
    </xf>
    <xf numFmtId="0" fontId="93" fillId="32" borderId="10" xfId="0" applyFont="1" applyFill="1" applyBorder="1" applyAlignment="1">
      <alignment horizontal="center" vertical="center"/>
    </xf>
    <xf numFmtId="0" fontId="14" fillId="32" borderId="10" xfId="0" applyFont="1" applyFill="1" applyBorder="1" applyAlignment="1">
      <alignment horizontal="center" vertical="center"/>
    </xf>
    <xf numFmtId="0" fontId="37" fillId="32" borderId="0" xfId="0" applyFont="1" applyFill="1" applyBorder="1" applyAlignment="1">
      <alignment horizontal="center" vertical="center"/>
    </xf>
    <xf numFmtId="0" fontId="9" fillId="32" borderId="0" xfId="0" applyFont="1" applyFill="1" applyAlignment="1">
      <alignment horizontal="center" vertical="center"/>
    </xf>
    <xf numFmtId="0" fontId="7" fillId="32" borderId="10" xfId="0" applyFont="1" applyFill="1" applyBorder="1" applyAlignment="1">
      <alignment horizontal="center" vertical="center"/>
    </xf>
    <xf numFmtId="0" fontId="16" fillId="32" borderId="0" xfId="0" applyFont="1" applyFill="1" applyAlignment="1">
      <alignment horizontal="center" vertical="center"/>
    </xf>
    <xf numFmtId="0" fontId="7" fillId="32" borderId="0" xfId="0" applyFont="1" applyFill="1" applyAlignment="1">
      <alignment horizontal="right" vertical="center"/>
    </xf>
    <xf numFmtId="3" fontId="104" fillId="32" borderId="10" xfId="0" applyNumberFormat="1" applyFont="1" applyFill="1" applyBorder="1" applyAlignment="1">
      <alignment vertical="center"/>
    </xf>
    <xf numFmtId="200" fontId="7" fillId="32" borderId="10" xfId="41" applyNumberFormat="1" applyFont="1" applyFill="1" applyBorder="1" applyAlignment="1">
      <alignment vertical="center"/>
    </xf>
    <xf numFmtId="0" fontId="21" fillId="0" borderId="10" xfId="0" applyFont="1" applyFill="1" applyBorder="1" applyAlignment="1">
      <alignment horizontal="center" vertical="center"/>
    </xf>
    <xf numFmtId="200" fontId="14" fillId="0" borderId="10" xfId="41" applyNumberFormat="1" applyFont="1" applyFill="1" applyBorder="1" applyAlignment="1">
      <alignment vertical="center"/>
    </xf>
    <xf numFmtId="200" fontId="21" fillId="0" borderId="10" xfId="41" applyNumberFormat="1" applyFont="1" applyFill="1" applyBorder="1" applyAlignment="1">
      <alignment vertical="center"/>
    </xf>
    <xf numFmtId="0" fontId="7" fillId="0" borderId="0" xfId="66" applyFont="1" applyFill="1" applyAlignment="1">
      <alignment horizontal="centerContinuous" vertical="center" wrapText="1"/>
      <protection/>
    </xf>
    <xf numFmtId="0" fontId="9" fillId="0" borderId="0" xfId="66" applyFont="1" applyFill="1" applyAlignment="1">
      <alignment horizontal="centerContinuous" vertical="center"/>
      <protection/>
    </xf>
    <xf numFmtId="0" fontId="9" fillId="0" borderId="0" xfId="66" applyFont="1" applyFill="1" applyAlignment="1">
      <alignment horizontal="left" vertical="center"/>
      <protection/>
    </xf>
    <xf numFmtId="0" fontId="9" fillId="0" borderId="0" xfId="66" applyFont="1" applyFill="1" applyAlignment="1">
      <alignment horizontal="left" vertical="center" wrapText="1"/>
      <protection/>
    </xf>
    <xf numFmtId="0" fontId="12" fillId="0" borderId="0" xfId="66" applyFont="1" applyFill="1" applyAlignment="1">
      <alignment horizontal="centerContinuous" vertical="center" wrapText="1"/>
      <protection/>
    </xf>
    <xf numFmtId="0" fontId="7" fillId="0" borderId="0" xfId="70" applyNumberFormat="1" applyFont="1" applyFill="1" applyBorder="1" applyAlignment="1">
      <alignment vertical="center" wrapText="1"/>
    </xf>
    <xf numFmtId="0" fontId="9" fillId="0" borderId="0" xfId="66" applyFont="1" applyFill="1" applyAlignment="1" quotePrefix="1">
      <alignment horizontal="centerContinuous" vertical="center" wrapText="1"/>
      <protection/>
    </xf>
    <xf numFmtId="0" fontId="9" fillId="0" borderId="0" xfId="66" applyFont="1" applyFill="1" applyAlignment="1" quotePrefix="1">
      <alignment horizontal="centerContinuous" vertical="center"/>
      <protection/>
    </xf>
    <xf numFmtId="0" fontId="10" fillId="0" borderId="0" xfId="66" applyFont="1" applyFill="1" applyAlignment="1">
      <alignment horizontal="left" vertical="center" wrapText="1"/>
      <protection/>
    </xf>
    <xf numFmtId="0" fontId="10" fillId="0" borderId="0" xfId="66" applyFont="1" applyFill="1" applyBorder="1" applyAlignment="1">
      <alignment horizontal="center" vertical="center"/>
      <protection/>
    </xf>
    <xf numFmtId="0" fontId="21" fillId="0" borderId="10" xfId="66" applyFont="1" applyFill="1" applyBorder="1" applyAlignment="1">
      <alignment horizontal="center" vertical="center"/>
      <protection/>
    </xf>
    <xf numFmtId="0" fontId="21" fillId="0" borderId="10" xfId="66" applyFont="1" applyFill="1" applyBorder="1" applyAlignment="1">
      <alignment horizontal="center" vertical="center" wrapText="1"/>
      <protection/>
    </xf>
    <xf numFmtId="0" fontId="22" fillId="0" borderId="10" xfId="66" applyFont="1" applyFill="1" applyBorder="1" applyAlignment="1" quotePrefix="1">
      <alignment horizontal="center" vertical="center"/>
      <protection/>
    </xf>
    <xf numFmtId="0" fontId="21" fillId="0" borderId="0" xfId="66" applyFont="1" applyFill="1" applyAlignment="1">
      <alignment vertical="center"/>
      <protection/>
    </xf>
    <xf numFmtId="0" fontId="14" fillId="0" borderId="10" xfId="66" applyFont="1" applyFill="1" applyBorder="1" applyAlignment="1">
      <alignment horizontal="center" vertical="center"/>
      <protection/>
    </xf>
    <xf numFmtId="0" fontId="14" fillId="0" borderId="10" xfId="66" applyFont="1" applyFill="1" applyBorder="1" applyAlignment="1">
      <alignment vertical="center" wrapText="1"/>
      <protection/>
    </xf>
    <xf numFmtId="3" fontId="14" fillId="0" borderId="10" xfId="66" applyNumberFormat="1" applyFont="1" applyFill="1" applyBorder="1" applyAlignment="1">
      <alignment vertical="center"/>
      <protection/>
    </xf>
    <xf numFmtId="0" fontId="21" fillId="0" borderId="0" xfId="66" applyFont="1" applyFill="1" applyAlignment="1">
      <alignment/>
      <protection/>
    </xf>
    <xf numFmtId="0" fontId="21" fillId="0" borderId="10" xfId="0" applyFont="1" applyFill="1" applyBorder="1" applyAlignment="1">
      <alignment vertical="center" wrapText="1"/>
    </xf>
    <xf numFmtId="3" fontId="21" fillId="0" borderId="10" xfId="66" applyNumberFormat="1" applyFont="1" applyFill="1" applyBorder="1" applyAlignment="1">
      <alignment vertical="center"/>
      <protection/>
    </xf>
    <xf numFmtId="3" fontId="21" fillId="0" borderId="10" xfId="41" applyNumberFormat="1" applyFont="1" applyFill="1" applyBorder="1" applyAlignment="1">
      <alignment horizontal="right" vertical="center" wrapText="1"/>
    </xf>
    <xf numFmtId="0" fontId="21" fillId="0" borderId="0" xfId="0" applyFont="1" applyFill="1" applyAlignment="1">
      <alignment/>
    </xf>
    <xf numFmtId="0" fontId="14" fillId="0" borderId="10" xfId="0" applyFont="1" applyFill="1" applyBorder="1" applyAlignment="1">
      <alignment horizontal="center" vertical="center"/>
    </xf>
    <xf numFmtId="0" fontId="14" fillId="0" borderId="10" xfId="0" applyFont="1" applyFill="1" applyBorder="1" applyAlignment="1">
      <alignment vertical="center" wrapText="1"/>
    </xf>
    <xf numFmtId="0" fontId="14" fillId="0" borderId="0" xfId="66" applyFont="1" applyFill="1" applyAlignment="1">
      <alignment/>
      <protection/>
    </xf>
    <xf numFmtId="3" fontId="21" fillId="0" borderId="10" xfId="0" applyNumberFormat="1" applyFont="1" applyFill="1" applyBorder="1" applyAlignment="1">
      <alignment horizontal="center" vertical="center"/>
    </xf>
    <xf numFmtId="3" fontId="21" fillId="0" borderId="10" xfId="0" applyNumberFormat="1" applyFont="1" applyFill="1" applyBorder="1" applyAlignment="1">
      <alignment vertical="center" wrapText="1"/>
    </xf>
    <xf numFmtId="3" fontId="21" fillId="0" borderId="17" xfId="0" applyNumberFormat="1" applyFont="1" applyFill="1" applyBorder="1" applyAlignment="1">
      <alignment vertical="center" wrapText="1"/>
    </xf>
    <xf numFmtId="3" fontId="21" fillId="0" borderId="17" xfId="66" applyNumberFormat="1" applyFont="1" applyFill="1" applyBorder="1" applyAlignment="1">
      <alignment vertical="center"/>
      <protection/>
    </xf>
    <xf numFmtId="3" fontId="21" fillId="0" borderId="17" xfId="41" applyNumberFormat="1" applyFont="1" applyFill="1" applyBorder="1" applyAlignment="1">
      <alignment horizontal="right" vertical="center" wrapText="1"/>
    </xf>
    <xf numFmtId="0" fontId="11" fillId="0" borderId="0" xfId="66" applyFont="1" applyFill="1" applyAlignment="1">
      <alignment wrapText="1"/>
      <protection/>
    </xf>
    <xf numFmtId="0" fontId="8" fillId="0" borderId="0" xfId="66" applyFont="1" applyFill="1" applyAlignment="1">
      <alignment wrapText="1"/>
      <protection/>
    </xf>
    <xf numFmtId="198" fontId="103" fillId="32" borderId="10" xfId="0" applyNumberFormat="1" applyFont="1" applyFill="1" applyBorder="1" applyAlignment="1">
      <alignment vertical="center"/>
    </xf>
    <xf numFmtId="3" fontId="86" fillId="0" borderId="10" xfId="0" applyNumberFormat="1" applyFont="1" applyFill="1" applyBorder="1" applyAlignment="1">
      <alignment horizontal="right" vertical="center"/>
    </xf>
    <xf numFmtId="0" fontId="14" fillId="32" borderId="0" xfId="0" applyFont="1" applyFill="1" applyAlignment="1">
      <alignment horizontal="centerContinuous" vertical="center"/>
    </xf>
    <xf numFmtId="0" fontId="21" fillId="32" borderId="0" xfId="0" applyFont="1" applyFill="1" applyAlignment="1">
      <alignment horizontal="centerContinuous" vertical="center"/>
    </xf>
    <xf numFmtId="3" fontId="21" fillId="32" borderId="0" xfId="0" applyNumberFormat="1" applyFont="1" applyFill="1" applyAlignment="1">
      <alignment vertical="center"/>
    </xf>
    <xf numFmtId="0" fontId="21" fillId="32" borderId="0" xfId="0" applyFont="1" applyFill="1" applyBorder="1" applyAlignment="1">
      <alignment horizontal="center" vertical="center"/>
    </xf>
    <xf numFmtId="0" fontId="21" fillId="32" borderId="0" xfId="0" applyFont="1" applyFill="1" applyBorder="1" applyAlignment="1">
      <alignment horizontal="right" vertical="center"/>
    </xf>
    <xf numFmtId="0" fontId="37" fillId="32" borderId="0" xfId="0" applyFont="1" applyFill="1" applyBorder="1" applyAlignment="1">
      <alignment horizontal="right" vertical="center"/>
    </xf>
    <xf numFmtId="3" fontId="14" fillId="32" borderId="10" xfId="0" applyNumberFormat="1" applyFont="1" applyFill="1" applyBorder="1" applyAlignment="1">
      <alignment vertical="center"/>
    </xf>
    <xf numFmtId="3" fontId="14" fillId="32" borderId="13" xfId="0" applyNumberFormat="1" applyFont="1" applyFill="1" applyBorder="1" applyAlignment="1">
      <alignment vertical="center"/>
    </xf>
    <xf numFmtId="3" fontId="14" fillId="32" borderId="14" xfId="0" applyNumberFormat="1" applyFont="1" applyFill="1" applyBorder="1" applyAlignment="1">
      <alignment vertical="center"/>
    </xf>
    <xf numFmtId="0" fontId="14" fillId="32" borderId="0" xfId="0" applyFont="1" applyFill="1" applyAlignment="1">
      <alignment/>
    </xf>
    <xf numFmtId="0" fontId="21" fillId="32" borderId="10" xfId="0" applyFont="1" applyFill="1" applyBorder="1" applyAlignment="1">
      <alignment vertical="center"/>
    </xf>
    <xf numFmtId="3" fontId="21" fillId="32" borderId="14" xfId="0" applyNumberFormat="1" applyFont="1" applyFill="1" applyBorder="1" applyAlignment="1">
      <alignment vertical="center"/>
    </xf>
    <xf numFmtId="0" fontId="105" fillId="32" borderId="10" xfId="0" applyFont="1" applyFill="1" applyBorder="1" applyAlignment="1">
      <alignment horizontal="center" vertical="center"/>
    </xf>
    <xf numFmtId="0" fontId="105" fillId="32" borderId="10" xfId="0" applyFont="1" applyFill="1" applyBorder="1" applyAlignment="1">
      <alignment vertical="center"/>
    </xf>
    <xf numFmtId="3" fontId="105" fillId="32" borderId="10" xfId="0" applyNumberFormat="1" applyFont="1" applyFill="1" applyBorder="1" applyAlignment="1">
      <alignment vertical="center"/>
    </xf>
    <xf numFmtId="3" fontId="105" fillId="32" borderId="14" xfId="0" applyNumberFormat="1" applyFont="1" applyFill="1" applyBorder="1" applyAlignment="1">
      <alignment vertical="center"/>
    </xf>
    <xf numFmtId="0" fontId="105" fillId="32" borderId="0" xfId="0" applyFont="1" applyFill="1" applyAlignment="1">
      <alignment/>
    </xf>
    <xf numFmtId="3" fontId="106" fillId="32" borderId="14" xfId="0" applyNumberFormat="1" applyFont="1" applyFill="1" applyBorder="1" applyAlignment="1">
      <alignment vertical="center"/>
    </xf>
    <xf numFmtId="0" fontId="106" fillId="32" borderId="0" xfId="0" applyFont="1" applyFill="1" applyAlignment="1">
      <alignment/>
    </xf>
    <xf numFmtId="0" fontId="105" fillId="32" borderId="18" xfId="0" applyFont="1" applyFill="1" applyBorder="1" applyAlignment="1">
      <alignment horizontal="center" vertical="center"/>
    </xf>
    <xf numFmtId="0" fontId="105" fillId="32" borderId="18" xfId="0" applyFont="1" applyFill="1" applyBorder="1" applyAlignment="1">
      <alignment vertical="center"/>
    </xf>
    <xf numFmtId="3" fontId="105" fillId="32" borderId="18" xfId="0" applyNumberFormat="1" applyFont="1" applyFill="1" applyBorder="1" applyAlignment="1">
      <alignment vertical="center"/>
    </xf>
    <xf numFmtId="3" fontId="106" fillId="32" borderId="18" xfId="0" applyNumberFormat="1" applyFont="1" applyFill="1" applyBorder="1" applyAlignment="1">
      <alignment vertical="center"/>
    </xf>
    <xf numFmtId="3" fontId="106" fillId="32" borderId="0" xfId="0" applyNumberFormat="1" applyFont="1" applyFill="1" applyAlignment="1">
      <alignment/>
    </xf>
    <xf numFmtId="0" fontId="14" fillId="32" borderId="17" xfId="0" applyFont="1" applyFill="1" applyBorder="1" applyAlignment="1">
      <alignment horizontal="center" vertical="center"/>
    </xf>
    <xf numFmtId="0" fontId="14" fillId="32" borderId="17" xfId="0" applyFont="1" applyFill="1" applyBorder="1" applyAlignment="1">
      <alignment vertical="center"/>
    </xf>
    <xf numFmtId="3" fontId="14" fillId="32" borderId="17" xfId="0" applyNumberFormat="1" applyFont="1" applyFill="1" applyBorder="1" applyAlignment="1">
      <alignment vertical="center"/>
    </xf>
    <xf numFmtId="0" fontId="7" fillId="0" borderId="14" xfId="73" applyFont="1" applyBorder="1" applyAlignment="1">
      <alignment horizontal="center" vertical="center" wrapText="1"/>
      <protection/>
    </xf>
    <xf numFmtId="0" fontId="7" fillId="0" borderId="14" xfId="73" applyFont="1" applyBorder="1" applyAlignment="1">
      <alignment horizontal="justify" vertical="center" wrapText="1"/>
      <protection/>
    </xf>
    <xf numFmtId="0" fontId="93" fillId="32" borderId="10" xfId="0" applyFont="1" applyFill="1" applyBorder="1" applyAlignment="1">
      <alignment horizontal="center"/>
    </xf>
    <xf numFmtId="0" fontId="93" fillId="32" borderId="10" xfId="0" applyFont="1" applyFill="1" applyBorder="1" applyAlignment="1">
      <alignment/>
    </xf>
    <xf numFmtId="3" fontId="93" fillId="32" borderId="10" xfId="0" applyNumberFormat="1" applyFont="1" applyFill="1" applyBorder="1" applyAlignment="1">
      <alignment horizontal="right"/>
    </xf>
    <xf numFmtId="3" fontId="86" fillId="32" borderId="10" xfId="0" applyNumberFormat="1" applyFont="1" applyFill="1" applyBorder="1" applyAlignment="1">
      <alignment horizontal="right"/>
    </xf>
    <xf numFmtId="0" fontId="8" fillId="32" borderId="10" xfId="0" applyFont="1" applyFill="1" applyBorder="1" applyAlignment="1">
      <alignment/>
    </xf>
    <xf numFmtId="0" fontId="91" fillId="32" borderId="10" xfId="0" applyFont="1" applyFill="1" applyBorder="1" applyAlignment="1">
      <alignment horizontal="right"/>
    </xf>
    <xf numFmtId="0" fontId="7" fillId="0" borderId="10" xfId="73" applyFont="1" applyBorder="1" applyAlignment="1">
      <alignment horizontal="center" vertical="center" wrapText="1"/>
      <protection/>
    </xf>
    <xf numFmtId="0" fontId="7" fillId="0" borderId="14" xfId="63" applyFont="1" applyFill="1" applyBorder="1" applyAlignment="1">
      <alignment vertical="center" wrapText="1"/>
      <protection/>
    </xf>
    <xf numFmtId="3" fontId="7" fillId="0" borderId="10" xfId="0" applyNumberFormat="1" applyFont="1" applyFill="1" applyBorder="1" applyAlignment="1">
      <alignment vertical="center"/>
    </xf>
    <xf numFmtId="3" fontId="8"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horizontal="centerContinuous" vertical="center"/>
    </xf>
    <xf numFmtId="0" fontId="14" fillId="0" borderId="0" xfId="0" applyFont="1" applyFill="1" applyAlignment="1">
      <alignment vertical="center"/>
    </xf>
    <xf numFmtId="0" fontId="14" fillId="0" borderId="0" xfId="0" applyFont="1" applyFill="1" applyAlignment="1">
      <alignment horizontal="right" vertical="center"/>
    </xf>
    <xf numFmtId="0" fontId="11" fillId="0" borderId="0" xfId="0" applyFont="1" applyFill="1" applyAlignment="1">
      <alignment horizontal="centerContinuous" vertical="center"/>
    </xf>
    <xf numFmtId="0" fontId="11" fillId="0" borderId="0" xfId="0" applyFont="1" applyFill="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3" fillId="0" borderId="0" xfId="0" applyFont="1" applyFill="1" applyAlignment="1">
      <alignment/>
    </xf>
    <xf numFmtId="0" fontId="21" fillId="0" borderId="10" xfId="0" applyFont="1" applyFill="1" applyBorder="1" applyAlignment="1" quotePrefix="1">
      <alignment horizontal="center" vertical="center"/>
    </xf>
    <xf numFmtId="0" fontId="21" fillId="0" borderId="0" xfId="0" applyFont="1" applyFill="1" applyAlignment="1">
      <alignment vertical="center"/>
    </xf>
    <xf numFmtId="0" fontId="8" fillId="0" borderId="10" xfId="0" applyFont="1" applyFill="1" applyBorder="1" applyAlignment="1">
      <alignment vertical="center"/>
    </xf>
    <xf numFmtId="0" fontId="8" fillId="0" borderId="17" xfId="0" applyFont="1" applyFill="1" applyBorder="1" applyAlignment="1">
      <alignment horizontal="center" vertical="center"/>
    </xf>
    <xf numFmtId="0" fontId="8" fillId="0" borderId="17" xfId="0" applyFont="1" applyFill="1" applyBorder="1" applyAlignment="1">
      <alignment vertical="center"/>
    </xf>
    <xf numFmtId="3" fontId="7" fillId="0" borderId="17" xfId="0" applyNumberFormat="1" applyFont="1" applyFill="1" applyBorder="1" applyAlignment="1">
      <alignment vertical="center"/>
    </xf>
    <xf numFmtId="0" fontId="16" fillId="0" borderId="0" xfId="0" applyFont="1" applyFill="1" applyAlignment="1">
      <alignment vertical="center"/>
    </xf>
    <xf numFmtId="200" fontId="8" fillId="32" borderId="0" xfId="41" applyNumberFormat="1" applyFont="1" applyFill="1" applyAlignment="1">
      <alignment horizontal="centerContinuous" vertical="center"/>
    </xf>
    <xf numFmtId="200" fontId="11" fillId="32" borderId="0" xfId="41" applyNumberFormat="1" applyFont="1" applyFill="1" applyAlignment="1">
      <alignment vertical="center"/>
    </xf>
    <xf numFmtId="0" fontId="11" fillId="32" borderId="0" xfId="0" applyFont="1" applyFill="1" applyBorder="1" applyAlignment="1">
      <alignment horizontal="right" vertical="center"/>
    </xf>
    <xf numFmtId="0" fontId="7" fillId="32" borderId="0" xfId="0" applyFont="1" applyFill="1" applyBorder="1" applyAlignment="1">
      <alignment horizontal="center" vertical="center"/>
    </xf>
    <xf numFmtId="0" fontId="7" fillId="32" borderId="0" xfId="0" applyFont="1" applyFill="1" applyBorder="1" applyAlignment="1">
      <alignment horizontal="center" vertical="center" wrapText="1"/>
    </xf>
    <xf numFmtId="0" fontId="41" fillId="32" borderId="10" xfId="0" applyFont="1" applyFill="1" applyBorder="1" applyAlignment="1">
      <alignment vertical="center"/>
    </xf>
    <xf numFmtId="3" fontId="8" fillId="32" borderId="0" xfId="0" applyNumberFormat="1" applyFont="1" applyFill="1" applyBorder="1" applyAlignment="1">
      <alignment vertical="center"/>
    </xf>
    <xf numFmtId="201" fontId="7" fillId="32" borderId="10" xfId="77" applyNumberFormat="1" applyFont="1" applyFill="1" applyBorder="1" applyAlignment="1">
      <alignment vertical="center"/>
    </xf>
    <xf numFmtId="201" fontId="7" fillId="32" borderId="0" xfId="77" applyNumberFormat="1" applyFont="1" applyFill="1" applyBorder="1" applyAlignment="1">
      <alignment vertical="center"/>
    </xf>
    <xf numFmtId="200" fontId="8" fillId="32" borderId="0" xfId="0" applyNumberFormat="1" applyFont="1" applyFill="1" applyAlignment="1">
      <alignment vertical="center"/>
    </xf>
    <xf numFmtId="201" fontId="8" fillId="32" borderId="10" xfId="77" applyNumberFormat="1" applyFont="1" applyFill="1" applyBorder="1" applyAlignment="1">
      <alignment vertical="center"/>
    </xf>
    <xf numFmtId="201" fontId="8" fillId="32" borderId="0" xfId="77" applyNumberFormat="1" applyFont="1" applyFill="1" applyBorder="1" applyAlignment="1">
      <alignment vertical="center"/>
    </xf>
    <xf numFmtId="200" fontId="8" fillId="32" borderId="10" xfId="41" applyNumberFormat="1" applyFont="1" applyFill="1" applyBorder="1" applyAlignment="1">
      <alignment horizontal="right" vertical="center"/>
    </xf>
    <xf numFmtId="200" fontId="8" fillId="0" borderId="10" xfId="41" applyNumberFormat="1" applyFont="1" applyFill="1" applyBorder="1" applyAlignment="1">
      <alignment horizontal="right" vertical="center"/>
    </xf>
    <xf numFmtId="4" fontId="8" fillId="32" borderId="10" xfId="0" applyNumberFormat="1" applyFont="1" applyFill="1" applyBorder="1" applyAlignment="1">
      <alignment vertical="center"/>
    </xf>
    <xf numFmtId="0" fontId="8" fillId="32" borderId="17" xfId="0" applyFont="1" applyFill="1" applyBorder="1" applyAlignment="1">
      <alignment horizontal="center" vertical="center"/>
    </xf>
    <xf numFmtId="0" fontId="8" fillId="32" borderId="17" xfId="0" applyFont="1" applyFill="1" applyBorder="1" applyAlignment="1">
      <alignment vertical="center"/>
    </xf>
    <xf numFmtId="201" fontId="8" fillId="32" borderId="17" xfId="77" applyNumberFormat="1" applyFont="1" applyFill="1" applyBorder="1" applyAlignment="1">
      <alignment vertical="center"/>
    </xf>
    <xf numFmtId="200" fontId="8" fillId="32" borderId="0" xfId="41" applyNumberFormat="1" applyFont="1" applyFill="1" applyAlignment="1">
      <alignment vertical="center"/>
    </xf>
    <xf numFmtId="0" fontId="97" fillId="32" borderId="10" xfId="0" applyFont="1" applyFill="1" applyBorder="1" applyAlignment="1">
      <alignment horizontal="center" vertical="center" wrapText="1"/>
    </xf>
    <xf numFmtId="0" fontId="97" fillId="32" borderId="0" xfId="0" applyFont="1" applyFill="1" applyAlignment="1">
      <alignment horizontal="center" vertical="center"/>
    </xf>
    <xf numFmtId="0" fontId="95" fillId="32" borderId="0" xfId="0" applyFont="1" applyFill="1" applyBorder="1" applyAlignment="1">
      <alignment horizontal="right" vertical="center"/>
    </xf>
    <xf numFmtId="0" fontId="97" fillId="32" borderId="10" xfId="0" applyFont="1" applyFill="1" applyBorder="1" applyAlignment="1">
      <alignment horizontal="center" vertical="center"/>
    </xf>
    <xf numFmtId="0" fontId="103" fillId="32" borderId="0" xfId="0" applyFont="1" applyFill="1" applyAlignment="1">
      <alignment horizontal="center" vertical="center"/>
    </xf>
    <xf numFmtId="0" fontId="9" fillId="32" borderId="0" xfId="0" applyFont="1" applyFill="1" applyAlignment="1">
      <alignment horizontal="center" vertical="center"/>
    </xf>
    <xf numFmtId="0" fontId="7" fillId="32" borderId="10" xfId="0" applyFont="1" applyFill="1" applyBorder="1" applyAlignment="1">
      <alignment horizontal="center" vertical="center"/>
    </xf>
    <xf numFmtId="0" fontId="4" fillId="32" borderId="10" xfId="0" applyFont="1" applyFill="1" applyBorder="1" applyAlignment="1">
      <alignment vertical="center"/>
    </xf>
    <xf numFmtId="0" fontId="16" fillId="32" borderId="0" xfId="0" applyFont="1" applyFill="1" applyAlignment="1">
      <alignment horizontal="center" vertical="center"/>
    </xf>
    <xf numFmtId="0" fontId="7" fillId="32" borderId="10" xfId="0" applyFont="1" applyFill="1" applyBorder="1" applyAlignment="1">
      <alignment horizontal="center" vertical="center" wrapText="1"/>
    </xf>
    <xf numFmtId="0" fontId="86" fillId="32" borderId="12" xfId="0" applyFont="1" applyFill="1" applyBorder="1" applyAlignment="1">
      <alignment horizontal="right" vertical="center"/>
    </xf>
    <xf numFmtId="0" fontId="93" fillId="32" borderId="10" xfId="0" applyFont="1" applyFill="1" applyBorder="1" applyAlignment="1">
      <alignment horizontal="center" vertical="center" wrapText="1"/>
    </xf>
    <xf numFmtId="0" fontId="93" fillId="32" borderId="10" xfId="0" applyFont="1" applyFill="1" applyBorder="1" applyAlignment="1">
      <alignment horizontal="center" vertical="center"/>
    </xf>
    <xf numFmtId="0" fontId="11" fillId="32" borderId="0" xfId="0" applyFont="1" applyFill="1" applyBorder="1" applyAlignment="1">
      <alignment horizontal="right" vertical="center"/>
    </xf>
    <xf numFmtId="200" fontId="7" fillId="32" borderId="10" xfId="41" applyNumberFormat="1" applyFont="1" applyFill="1" applyBorder="1" applyAlignment="1">
      <alignment horizontal="center" vertical="center" wrapText="1"/>
    </xf>
    <xf numFmtId="0" fontId="30" fillId="32" borderId="0" xfId="0" applyFont="1" applyFill="1" applyBorder="1" applyAlignment="1">
      <alignment horizontal="left" vertical="center" wrapText="1"/>
    </xf>
    <xf numFmtId="0" fontId="23" fillId="32" borderId="0" xfId="0" applyFont="1" applyFill="1" applyAlignment="1">
      <alignment horizontal="left" vertical="center" wrapText="1"/>
    </xf>
    <xf numFmtId="0" fontId="8" fillId="32" borderId="12" xfId="0" applyFont="1" applyFill="1" applyBorder="1" applyAlignment="1">
      <alignment horizontal="center" vertical="center"/>
    </xf>
    <xf numFmtId="0" fontId="7" fillId="32" borderId="0" xfId="0" applyFont="1" applyFill="1" applyAlignment="1">
      <alignment horizontal="righ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8" fillId="0" borderId="0" xfId="0" applyFont="1" applyFill="1" applyBorder="1" applyAlignment="1">
      <alignment horizontal="right"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93" fillId="32" borderId="11" xfId="0" applyNumberFormat="1" applyFont="1" applyFill="1" applyBorder="1" applyAlignment="1">
      <alignment horizontal="center" vertical="center" wrapText="1"/>
    </xf>
    <xf numFmtId="0" fontId="93" fillId="32" borderId="18" xfId="0" applyNumberFormat="1" applyFont="1" applyFill="1" applyBorder="1" applyAlignment="1">
      <alignment horizontal="center" vertical="center" wrapText="1"/>
    </xf>
    <xf numFmtId="0" fontId="93" fillId="32" borderId="0" xfId="0" applyFont="1" applyFill="1" applyAlignment="1">
      <alignment horizontal="right" vertical="center"/>
    </xf>
    <xf numFmtId="0" fontId="100" fillId="32" borderId="0" xfId="0" applyFont="1" applyFill="1" applyAlignment="1">
      <alignment horizontal="center" vertical="center"/>
    </xf>
    <xf numFmtId="0" fontId="86" fillId="32" borderId="0" xfId="0" applyFont="1" applyFill="1" applyBorder="1" applyAlignment="1">
      <alignment horizontal="right" vertical="center"/>
    </xf>
    <xf numFmtId="0" fontId="93" fillId="32" borderId="10" xfId="0" applyNumberFormat="1"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10" xfId="0" applyFont="1" applyFill="1" applyBorder="1" applyAlignment="1">
      <alignment horizontal="center" vertical="center"/>
    </xf>
    <xf numFmtId="0" fontId="24" fillId="0" borderId="10" xfId="0" applyFont="1" applyBorder="1" applyAlignment="1">
      <alignment horizontal="center" vertical="center" wrapText="1"/>
    </xf>
    <xf numFmtId="0" fontId="25" fillId="0" borderId="12" xfId="0" applyFont="1" applyBorder="1" applyAlignment="1">
      <alignment horizontal="right" vertical="center"/>
    </xf>
    <xf numFmtId="0" fontId="2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7" fillId="0" borderId="10" xfId="66" applyFont="1" applyFill="1" applyBorder="1" applyAlignment="1">
      <alignment horizontal="center" vertical="center" wrapText="1"/>
      <protection/>
    </xf>
    <xf numFmtId="0" fontId="14" fillId="0" borderId="10" xfId="66" applyFont="1" applyFill="1" applyBorder="1" applyAlignment="1">
      <alignment horizontal="center" vertical="center" wrapText="1"/>
      <protection/>
    </xf>
    <xf numFmtId="0" fontId="10" fillId="0" borderId="0" xfId="66" applyFont="1" applyFill="1" applyBorder="1" applyAlignment="1">
      <alignment horizontal="center" vertical="center"/>
      <protection/>
    </xf>
    <xf numFmtId="0" fontId="16" fillId="0" borderId="0" xfId="70" applyNumberFormat="1" applyFont="1" applyFill="1" applyBorder="1" applyAlignment="1">
      <alignment horizontal="center" vertical="center" wrapText="1"/>
    </xf>
    <xf numFmtId="0" fontId="7" fillId="0" borderId="0" xfId="66" applyFont="1" applyFill="1" applyAlignment="1">
      <alignment horizontal="right" vertical="center"/>
      <protection/>
    </xf>
    <xf numFmtId="0" fontId="8" fillId="0" borderId="0" xfId="66" applyFont="1" applyFill="1" applyBorder="1" applyAlignment="1">
      <alignment horizontal="right" vertical="center"/>
      <protection/>
    </xf>
    <xf numFmtId="0" fontId="7" fillId="0" borderId="10" xfId="66" applyFont="1" applyFill="1" applyBorder="1" applyAlignment="1">
      <alignment horizontal="center" vertical="center"/>
      <protection/>
    </xf>
    <xf numFmtId="0" fontId="4" fillId="0" borderId="10" xfId="0" applyFont="1" applyFill="1" applyBorder="1" applyAlignment="1">
      <alignment vertical="center"/>
    </xf>
    <xf numFmtId="0" fontId="12" fillId="0" borderId="0" xfId="66" applyFont="1" applyFill="1" applyAlignment="1">
      <alignment horizontal="center" vertical="center"/>
      <protection/>
    </xf>
    <xf numFmtId="0" fontId="7" fillId="0" borderId="11" xfId="66" applyFont="1" applyFill="1" applyBorder="1" applyAlignment="1">
      <alignment horizontal="center" vertical="center" wrapText="1"/>
      <protection/>
    </xf>
    <xf numFmtId="0" fontId="7" fillId="0" borderId="16" xfId="66" applyFont="1" applyFill="1" applyBorder="1" applyAlignment="1">
      <alignment horizontal="center" vertical="center" wrapText="1"/>
      <protection/>
    </xf>
    <xf numFmtId="0" fontId="7" fillId="0" borderId="18" xfId="66" applyFont="1" applyFill="1" applyBorder="1" applyAlignment="1">
      <alignment horizontal="center" vertical="center" wrapText="1"/>
      <protection/>
    </xf>
    <xf numFmtId="197" fontId="14" fillId="32" borderId="10" xfId="71" applyNumberFormat="1" applyFont="1" applyFill="1" applyBorder="1" applyAlignment="1">
      <alignment horizontal="center" vertical="center" wrapText="1"/>
      <protection/>
    </xf>
    <xf numFmtId="197" fontId="14" fillId="0" borderId="10" xfId="71" applyNumberFormat="1" applyFont="1" applyFill="1" applyBorder="1" applyAlignment="1">
      <alignment horizontal="center" vertical="center" wrapText="1"/>
      <protection/>
    </xf>
    <xf numFmtId="0" fontId="37" fillId="32" borderId="0" xfId="0" applyFont="1" applyFill="1" applyBorder="1" applyAlignment="1">
      <alignment horizontal="center" vertical="center"/>
    </xf>
    <xf numFmtId="0" fontId="12" fillId="32" borderId="0" xfId="0" applyFont="1" applyFill="1" applyAlignment="1">
      <alignment horizontal="center" vertical="center"/>
    </xf>
    <xf numFmtId="0" fontId="8" fillId="32" borderId="0" xfId="0" applyFont="1" applyFill="1" applyBorder="1" applyAlignment="1">
      <alignment horizontal="right" vertical="center"/>
    </xf>
    <xf numFmtId="0" fontId="40" fillId="32" borderId="0" xfId="0" applyFont="1" applyFill="1" applyBorder="1" applyAlignment="1">
      <alignment horizontal="left" vertical="center" wrapText="1"/>
    </xf>
    <xf numFmtId="0" fontId="7" fillId="32" borderId="0" xfId="0" applyFont="1" applyFill="1" applyAlignment="1">
      <alignment horizontal="right"/>
    </xf>
    <xf numFmtId="0" fontId="9" fillId="32" borderId="0" xfId="0" applyFont="1" applyFill="1" applyAlignment="1">
      <alignment horizontal="center" wrapText="1"/>
    </xf>
    <xf numFmtId="0" fontId="16" fillId="32" borderId="0" xfId="0" applyFont="1" applyFill="1" applyAlignment="1">
      <alignment horizontal="center" wrapText="1"/>
    </xf>
    <xf numFmtId="0" fontId="8" fillId="32" borderId="0" xfId="0" applyFont="1" applyFill="1" applyBorder="1" applyAlignment="1">
      <alignment horizontal="right"/>
    </xf>
    <xf numFmtId="0" fontId="30" fillId="32" borderId="0" xfId="0" applyFont="1" applyFill="1" applyAlignment="1">
      <alignment horizontal="right" vertical="center"/>
    </xf>
    <xf numFmtId="0" fontId="9" fillId="32" borderId="0" xfId="72" applyNumberFormat="1" applyFont="1" applyFill="1" applyAlignment="1">
      <alignment horizontal="center" vertical="center" wrapText="1"/>
      <protection/>
    </xf>
    <xf numFmtId="0" fontId="8" fillId="32" borderId="12" xfId="67" applyFont="1" applyFill="1" applyBorder="1" applyAlignment="1">
      <alignment horizontal="right" vertical="center"/>
      <protection/>
    </xf>
    <xf numFmtId="0" fontId="7" fillId="32" borderId="11" xfId="72" applyFont="1" applyFill="1" applyBorder="1" applyAlignment="1">
      <alignment horizontal="center" vertical="center" wrapText="1"/>
      <protection/>
    </xf>
    <xf numFmtId="0" fontId="7" fillId="32" borderId="16" xfId="72" applyFont="1" applyFill="1" applyBorder="1" applyAlignment="1">
      <alignment horizontal="center" vertical="center" wrapText="1"/>
      <protection/>
    </xf>
    <xf numFmtId="0" fontId="7" fillId="32" borderId="10" xfId="72" applyFont="1" applyFill="1" applyBorder="1" applyAlignment="1">
      <alignment horizontal="center" vertical="center"/>
      <protection/>
    </xf>
    <xf numFmtId="0" fontId="7" fillId="32" borderId="10" xfId="72" applyFont="1" applyFill="1" applyBorder="1" applyAlignment="1">
      <alignment horizontal="center" vertical="center" wrapText="1"/>
      <protection/>
    </xf>
    <xf numFmtId="0" fontId="7" fillId="32" borderId="19" xfId="72" applyFont="1" applyFill="1" applyBorder="1" applyAlignment="1">
      <alignment horizontal="center" vertical="center" wrapText="1"/>
      <protection/>
    </xf>
    <xf numFmtId="0" fontId="7" fillId="32" borderId="20" xfId="72" applyFont="1" applyFill="1" applyBorder="1" applyAlignment="1">
      <alignment horizontal="center" vertical="center" wrapText="1"/>
      <protection/>
    </xf>
    <xf numFmtId="0" fontId="7" fillId="32" borderId="21" xfId="72" applyFont="1" applyFill="1" applyBorder="1" applyAlignment="1">
      <alignment horizontal="center" vertical="center" wrapText="1"/>
      <protection/>
    </xf>
    <xf numFmtId="0" fontId="7" fillId="32" borderId="18" xfId="72" applyFont="1" applyFill="1" applyBorder="1" applyAlignment="1">
      <alignment horizontal="center" vertical="center" wrapText="1"/>
      <protection/>
    </xf>
    <xf numFmtId="0" fontId="16" fillId="32" borderId="0" xfId="72" applyNumberFormat="1" applyFont="1" applyFill="1" applyAlignment="1">
      <alignment horizontal="center" vertical="center" wrapText="1"/>
      <protection/>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7" fillId="0" borderId="12" xfId="0" applyFont="1" applyBorder="1" applyAlignment="1">
      <alignment horizontal="center" vertical="center" wrapText="1"/>
    </xf>
    <xf numFmtId="3" fontId="21" fillId="33" borderId="10" xfId="66" applyNumberFormat="1" applyFont="1" applyFill="1" applyBorder="1" applyAlignment="1">
      <alignment vertical="center"/>
      <protection/>
    </xf>
    <xf numFmtId="0" fontId="8" fillId="33" borderId="10" xfId="0" applyFont="1" applyFill="1" applyBorder="1" applyAlignment="1">
      <alignment horizontal="center" vertical="center"/>
    </xf>
    <xf numFmtId="0" fontId="8" fillId="33" borderId="10" xfId="0" applyFont="1" applyFill="1" applyBorder="1" applyAlignment="1">
      <alignment vertical="center"/>
    </xf>
    <xf numFmtId="3" fontId="7" fillId="33" borderId="10" xfId="0" applyNumberFormat="1" applyFont="1" applyFill="1" applyBorder="1" applyAlignment="1">
      <alignment vertical="center"/>
    </xf>
    <xf numFmtId="3" fontId="8" fillId="33" borderId="10" xfId="0" applyNumberFormat="1" applyFont="1" applyFill="1" applyBorder="1" applyAlignment="1">
      <alignment vertical="center"/>
    </xf>
    <xf numFmtId="3" fontId="8" fillId="33" borderId="0" xfId="0" applyNumberFormat="1" applyFont="1" applyFill="1" applyAlignment="1">
      <alignment/>
    </xf>
    <xf numFmtId="0" fontId="8" fillId="33" borderId="0" xfId="0" applyFont="1" applyFill="1" applyAlignment="1">
      <alignment/>
    </xf>
    <xf numFmtId="0" fontId="24" fillId="0" borderId="10" xfId="0" applyFont="1" applyBorder="1" applyAlignment="1">
      <alignment horizontal="center"/>
    </xf>
    <xf numFmtId="0" fontId="24" fillId="0" borderId="10" xfId="0" applyFont="1" applyBorder="1" applyAlignment="1">
      <alignment/>
    </xf>
    <xf numFmtId="3" fontId="24" fillId="0" borderId="10" xfId="0" applyNumberFormat="1" applyFont="1" applyBorder="1" applyAlignment="1">
      <alignment/>
    </xf>
    <xf numFmtId="0" fontId="8" fillId="0" borderId="10" xfId="0" applyFont="1" applyBorder="1" applyAlignment="1">
      <alignment horizontal="center"/>
    </xf>
    <xf numFmtId="0" fontId="8" fillId="0" borderId="10" xfId="0" applyFont="1" applyBorder="1" applyAlignment="1">
      <alignment/>
    </xf>
    <xf numFmtId="3" fontId="8" fillId="0" borderId="10" xfId="0" applyNumberFormat="1" applyFont="1" applyBorder="1" applyAlignment="1">
      <alignment/>
    </xf>
    <xf numFmtId="3" fontId="25" fillId="0" borderId="10" xfId="0" applyNumberFormat="1" applyFont="1" applyBorder="1" applyAlignment="1">
      <alignment/>
    </xf>
    <xf numFmtId="0" fontId="25" fillId="0" borderId="10" xfId="0" applyFont="1" applyBorder="1" applyAlignment="1">
      <alignment horizontal="center"/>
    </xf>
    <xf numFmtId="0" fontId="25" fillId="0" borderId="10" xfId="0" applyFont="1" applyBorder="1" applyAlignment="1">
      <alignment/>
    </xf>
    <xf numFmtId="3" fontId="21" fillId="33" borderId="10" xfId="0" applyNumberFormat="1" applyFont="1" applyFill="1" applyBorder="1" applyAlignment="1">
      <alignment vertical="center"/>
    </xf>
    <xf numFmtId="3" fontId="21" fillId="32" borderId="0" xfId="0" applyNumberFormat="1" applyFont="1" applyFill="1" applyAlignment="1">
      <alignment/>
    </xf>
    <xf numFmtId="3" fontId="14" fillId="33" borderId="10" xfId="0" applyNumberFormat="1" applyFont="1" applyFill="1" applyBorder="1" applyAlignment="1">
      <alignment vertical="center"/>
    </xf>
    <xf numFmtId="0" fontId="107" fillId="0" borderId="10" xfId="0" applyFont="1" applyBorder="1" applyAlignment="1">
      <alignment horizontal="center" vertical="center"/>
    </xf>
    <xf numFmtId="0" fontId="107" fillId="0" borderId="10" xfId="0" applyFont="1" applyBorder="1" applyAlignment="1">
      <alignment vertical="center"/>
    </xf>
    <xf numFmtId="3" fontId="107" fillId="0" borderId="10" xfId="0" applyNumberFormat="1" applyFont="1" applyBorder="1" applyAlignment="1">
      <alignment vertical="center"/>
    </xf>
    <xf numFmtId="0" fontId="104" fillId="0" borderId="0" xfId="0" applyFont="1" applyAlignment="1">
      <alignment/>
    </xf>
    <xf numFmtId="3" fontId="104" fillId="0" borderId="0" xfId="0" applyNumberFormat="1" applyFont="1" applyAlignment="1">
      <alignment/>
    </xf>
    <xf numFmtId="0" fontId="107" fillId="0" borderId="10" xfId="0" applyFont="1" applyBorder="1" applyAlignment="1">
      <alignment horizontal="center"/>
    </xf>
    <xf numFmtId="0" fontId="107" fillId="0" borderId="10" xfId="0" applyFont="1" applyBorder="1" applyAlignment="1">
      <alignment/>
    </xf>
    <xf numFmtId="3" fontId="107" fillId="0" borderId="10" xfId="0" applyNumberFormat="1" applyFont="1" applyBorder="1" applyAlignment="1">
      <alignment/>
    </xf>
    <xf numFmtId="0" fontId="107" fillId="0" borderId="0" xfId="0" applyFont="1" applyAlignment="1">
      <alignment/>
    </xf>
    <xf numFmtId="3" fontId="86" fillId="33" borderId="10" xfId="0" applyNumberFormat="1" applyFont="1" applyFill="1" applyBorder="1" applyAlignment="1">
      <alignment horizontal="right" vertical="center"/>
    </xf>
    <xf numFmtId="3" fontId="93" fillId="33" borderId="10" xfId="0" applyNumberFormat="1" applyFont="1" applyFill="1" applyBorder="1" applyAlignment="1">
      <alignment horizontal="right" vertical="center"/>
    </xf>
    <xf numFmtId="3" fontId="86" fillId="33" borderId="10" xfId="0" applyNumberFormat="1" applyFont="1" applyFill="1" applyBorder="1" applyAlignment="1">
      <alignment vertical="center"/>
    </xf>
    <xf numFmtId="3" fontId="7" fillId="0" borderId="10" xfId="0" applyNumberFormat="1" applyFont="1" applyFill="1" applyBorder="1" applyAlignment="1">
      <alignment horizontal="right" vertical="center"/>
    </xf>
    <xf numFmtId="3" fontId="93" fillId="33" borderId="10" xfId="0" applyNumberFormat="1" applyFont="1" applyFill="1" applyBorder="1" applyAlignment="1">
      <alignment vertical="center"/>
    </xf>
    <xf numFmtId="3" fontId="21" fillId="34" borderId="10" xfId="66" applyNumberFormat="1" applyFont="1" applyFill="1" applyBorder="1" applyAlignment="1">
      <alignment vertical="center"/>
      <protection/>
    </xf>
    <xf numFmtId="3" fontId="8" fillId="34" borderId="10" xfId="0" applyNumberFormat="1" applyFont="1" applyFill="1" applyBorder="1" applyAlignment="1">
      <alignment/>
    </xf>
    <xf numFmtId="3" fontId="8" fillId="33" borderId="10" xfId="46" applyNumberFormat="1" applyFont="1" applyFill="1" applyBorder="1" applyAlignment="1">
      <alignment horizontal="right" vertical="center"/>
    </xf>
    <xf numFmtId="3" fontId="7" fillId="33" borderId="10" xfId="46" applyNumberFormat="1" applyFont="1" applyFill="1" applyBorder="1" applyAlignment="1">
      <alignment horizontal="right" vertical="center"/>
    </xf>
    <xf numFmtId="3" fontId="95" fillId="33" borderId="10" xfId="0" applyNumberFormat="1" applyFont="1" applyFill="1" applyBorder="1" applyAlignment="1">
      <alignment vertical="center"/>
    </xf>
    <xf numFmtId="3" fontId="97" fillId="33" borderId="10" xfId="0" applyNumberFormat="1" applyFont="1" applyFill="1" applyBorder="1" applyAlignment="1">
      <alignment vertical="center"/>
    </xf>
    <xf numFmtId="3" fontId="97" fillId="33" borderId="17" xfId="0" applyNumberFormat="1" applyFont="1" applyFill="1" applyBorder="1" applyAlignment="1">
      <alignment vertical="center"/>
    </xf>
    <xf numFmtId="200" fontId="8" fillId="33" borderId="10" xfId="41" applyNumberFormat="1" applyFont="1" applyFill="1" applyBorder="1" applyAlignment="1">
      <alignment vertical="center"/>
    </xf>
    <xf numFmtId="200" fontId="104" fillId="32" borderId="0" xfId="0" applyNumberFormat="1" applyFont="1" applyFill="1" applyAlignment="1">
      <alignment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2" xfId="43"/>
    <cellStyle name="Comma 28" xfId="44"/>
    <cellStyle name="Comma 3 2" xfId="45"/>
    <cellStyle name="Comma 4" xfId="46"/>
    <cellStyle name="Currency" xfId="47"/>
    <cellStyle name="Currency [0]" xfId="48"/>
    <cellStyle name="Check Cell" xfId="49"/>
    <cellStyle name="Explanatory Text" xfId="50"/>
    <cellStyle name="Followed Hyperlink" xfId="51"/>
    <cellStyle name="Good" xfId="52"/>
    <cellStyle name="HAI" xfId="53"/>
    <cellStyle name="Heading 1" xfId="54"/>
    <cellStyle name="Heading 2" xfId="55"/>
    <cellStyle name="Heading 3" xfId="56"/>
    <cellStyle name="Heading 4" xfId="57"/>
    <cellStyle name="Hyperlink" xfId="58"/>
    <cellStyle name="Input" xfId="59"/>
    <cellStyle name="Linked Cell" xfId="60"/>
    <cellStyle name="Neutral" xfId="61"/>
    <cellStyle name="Normal 11" xfId="62"/>
    <cellStyle name="Normal 11 2" xfId="63"/>
    <cellStyle name="Normal 11 3" xfId="64"/>
    <cellStyle name="Normal 16" xfId="65"/>
    <cellStyle name="Normal 2" xfId="66"/>
    <cellStyle name="Normal 2 2" xfId="67"/>
    <cellStyle name="Normal 22" xfId="68"/>
    <cellStyle name="Normal 3" xfId="69"/>
    <cellStyle name="Normal 3 4" xfId="70"/>
    <cellStyle name="Normal 4" xfId="71"/>
    <cellStyle name="Normal 5" xfId="72"/>
    <cellStyle name="Normal 5 3" xfId="73"/>
    <cellStyle name="Normal_Chi NSTW NSDP 2002 - PL"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45"/>
  <sheetViews>
    <sheetView tabSelected="1" view="pageBreakPreview" zoomScale="80" zoomScaleNormal="80" zoomScaleSheetLayoutView="80" zoomScalePageLayoutView="0" workbookViewId="0" topLeftCell="A1">
      <selection activeCell="B13" sqref="B13"/>
    </sheetView>
  </sheetViews>
  <sheetFormatPr defaultColWidth="8.796875" defaultRowHeight="15"/>
  <cols>
    <col min="1" max="1" width="6" style="48" customWidth="1"/>
    <col min="2" max="2" width="48.3984375" style="48" customWidth="1"/>
    <col min="3" max="3" width="11.19921875" style="48" customWidth="1"/>
    <col min="4" max="4" width="11.8984375" style="48" customWidth="1"/>
    <col min="5" max="5" width="12.09765625" style="77" customWidth="1"/>
    <col min="6" max="6" width="10.69921875" style="48" customWidth="1"/>
    <col min="7" max="7" width="8.5" style="48" customWidth="1"/>
    <col min="8" max="8" width="10.09765625" style="48" customWidth="1"/>
    <col min="9" max="16384" width="9" style="48" customWidth="1"/>
  </cols>
  <sheetData>
    <row r="1" spans="1:7" ht="27.75" customHeight="1">
      <c r="A1" s="197"/>
      <c r="B1" s="198"/>
      <c r="C1" s="199"/>
      <c r="D1" s="199"/>
      <c r="E1" s="199"/>
      <c r="F1" s="200"/>
      <c r="G1" s="201" t="s">
        <v>215</v>
      </c>
    </row>
    <row r="2" spans="1:7" ht="24.75" customHeight="1">
      <c r="A2" s="408" t="s">
        <v>349</v>
      </c>
      <c r="B2" s="408"/>
      <c r="C2" s="408"/>
      <c r="D2" s="408"/>
      <c r="E2" s="408"/>
      <c r="F2" s="408"/>
      <c r="G2" s="408"/>
    </row>
    <row r="3" spans="1:9" ht="21.75" customHeight="1">
      <c r="A3" s="411" t="s">
        <v>344</v>
      </c>
      <c r="B3" s="411"/>
      <c r="C3" s="411"/>
      <c r="D3" s="411"/>
      <c r="E3" s="411"/>
      <c r="F3" s="411"/>
      <c r="G3" s="411"/>
      <c r="I3" s="88"/>
    </row>
    <row r="4" spans="1:7" ht="27" customHeight="1">
      <c r="A4" s="202"/>
      <c r="B4" s="202"/>
      <c r="C4" s="203"/>
      <c r="D4" s="203"/>
      <c r="E4" s="409" t="s">
        <v>90</v>
      </c>
      <c r="F4" s="409"/>
      <c r="G4" s="409"/>
    </row>
    <row r="5" spans="1:7" s="71" customFormat="1" ht="21.75" customHeight="1">
      <c r="A5" s="410" t="s">
        <v>60</v>
      </c>
      <c r="B5" s="410" t="s">
        <v>6</v>
      </c>
      <c r="C5" s="407" t="s">
        <v>277</v>
      </c>
      <c r="D5" s="407" t="s">
        <v>342</v>
      </c>
      <c r="E5" s="407" t="s">
        <v>350</v>
      </c>
      <c r="F5" s="410" t="s">
        <v>214</v>
      </c>
      <c r="G5" s="410"/>
    </row>
    <row r="6" spans="1:7" s="71" customFormat="1" ht="21.75" customHeight="1">
      <c r="A6" s="410"/>
      <c r="B6" s="410"/>
      <c r="C6" s="407"/>
      <c r="D6" s="407"/>
      <c r="E6" s="407"/>
      <c r="F6" s="407" t="s">
        <v>91</v>
      </c>
      <c r="G6" s="407" t="s">
        <v>142</v>
      </c>
    </row>
    <row r="7" spans="1:7" s="71" customFormat="1" ht="26.25" customHeight="1">
      <c r="A7" s="410"/>
      <c r="B7" s="410"/>
      <c r="C7" s="407"/>
      <c r="D7" s="407"/>
      <c r="E7" s="407"/>
      <c r="F7" s="407"/>
      <c r="G7" s="407"/>
    </row>
    <row r="8" spans="1:7" s="29" customFormat="1" ht="17.25" customHeight="1">
      <c r="A8" s="204" t="s">
        <v>10</v>
      </c>
      <c r="B8" s="204" t="s">
        <v>11</v>
      </c>
      <c r="C8" s="204">
        <v>1</v>
      </c>
      <c r="D8" s="204">
        <f>C8+1</f>
        <v>2</v>
      </c>
      <c r="E8" s="204">
        <f>D8+1</f>
        <v>3</v>
      </c>
      <c r="F8" s="204">
        <f>E8+1</f>
        <v>4</v>
      </c>
      <c r="G8" s="204">
        <f>F8+1</f>
        <v>5</v>
      </c>
    </row>
    <row r="9" spans="1:7" s="70" customFormat="1" ht="41.25" customHeight="1">
      <c r="A9" s="205" t="s">
        <v>10</v>
      </c>
      <c r="B9" s="206" t="s">
        <v>102</v>
      </c>
      <c r="C9" s="207">
        <f>C10+C13+C17+C18+C19</f>
        <v>948814</v>
      </c>
      <c r="D9" s="207">
        <f>D10+D13+D17+D18+D19</f>
        <v>1095883</v>
      </c>
      <c r="E9" s="207">
        <f>E10+E13+E17+E18+E19</f>
        <v>1102382</v>
      </c>
      <c r="F9" s="207">
        <f aca="true" t="shared" si="0" ref="F9:F14">E9-D9</f>
        <v>6499</v>
      </c>
      <c r="G9" s="208">
        <f aca="true" t="shared" si="1" ref="G9:G14">E9/D9*100</f>
        <v>100.59303776041786</v>
      </c>
    </row>
    <row r="10" spans="1:7" s="70" customFormat="1" ht="30.75" customHeight="1">
      <c r="A10" s="205" t="s">
        <v>20</v>
      </c>
      <c r="B10" s="209" t="s">
        <v>55</v>
      </c>
      <c r="C10" s="207">
        <f>C11+C12</f>
        <v>50600</v>
      </c>
      <c r="D10" s="207">
        <f>D11+D12</f>
        <v>56300</v>
      </c>
      <c r="E10" s="207">
        <f>E11+E12</f>
        <v>51000</v>
      </c>
      <c r="F10" s="207">
        <f t="shared" si="0"/>
        <v>-5300</v>
      </c>
      <c r="G10" s="208">
        <f t="shared" si="1"/>
        <v>90.58614564831261</v>
      </c>
    </row>
    <row r="11" spans="1:7" s="70" customFormat="1" ht="30.75" customHeight="1">
      <c r="A11" s="210" t="s">
        <v>17</v>
      </c>
      <c r="B11" s="211" t="s">
        <v>56</v>
      </c>
      <c r="C11" s="212">
        <f>50600-C12</f>
        <v>38400</v>
      </c>
      <c r="D11" s="518">
        <f>56300-D12</f>
        <v>45765</v>
      </c>
      <c r="E11" s="212">
        <f>51000-E12</f>
        <v>39370</v>
      </c>
      <c r="F11" s="212">
        <f t="shared" si="0"/>
        <v>-6395</v>
      </c>
      <c r="G11" s="213">
        <f t="shared" si="1"/>
        <v>86.02643941876981</v>
      </c>
    </row>
    <row r="12" spans="1:7" s="70" customFormat="1" ht="30.75" customHeight="1">
      <c r="A12" s="210" t="s">
        <v>17</v>
      </c>
      <c r="B12" s="211" t="s">
        <v>138</v>
      </c>
      <c r="C12" s="212">
        <v>12200</v>
      </c>
      <c r="D12" s="518">
        <f>+PL16!D16+PL16!D17+PL16!D26+PL16!D23</f>
        <v>10535</v>
      </c>
      <c r="E12" s="212">
        <v>11630</v>
      </c>
      <c r="F12" s="212">
        <f t="shared" si="0"/>
        <v>1095</v>
      </c>
      <c r="G12" s="213">
        <f t="shared" si="1"/>
        <v>110.3939250118652</v>
      </c>
    </row>
    <row r="13" spans="1:7" s="70" customFormat="1" ht="30.75" customHeight="1">
      <c r="A13" s="205" t="s">
        <v>21</v>
      </c>
      <c r="B13" s="209" t="s">
        <v>46</v>
      </c>
      <c r="C13" s="207">
        <f>C14+C16+C15</f>
        <v>898214</v>
      </c>
      <c r="D13" s="207">
        <f>D14+D16+D15</f>
        <v>947181</v>
      </c>
      <c r="E13" s="207">
        <f>E14+E16+E15</f>
        <v>1051382</v>
      </c>
      <c r="F13" s="207">
        <f t="shared" si="0"/>
        <v>104201</v>
      </c>
      <c r="G13" s="208">
        <f t="shared" si="1"/>
        <v>111.00117084274284</v>
      </c>
    </row>
    <row r="14" spans="1:7" s="70" customFormat="1" ht="30.75" customHeight="1">
      <c r="A14" s="214">
        <v>1</v>
      </c>
      <c r="B14" s="211" t="s">
        <v>77</v>
      </c>
      <c r="C14" s="212">
        <v>684106</v>
      </c>
      <c r="D14" s="212">
        <v>684106</v>
      </c>
      <c r="E14" s="518">
        <f>706109+68893+3410+70</f>
        <v>778482</v>
      </c>
      <c r="F14" s="212">
        <f t="shared" si="0"/>
        <v>94376</v>
      </c>
      <c r="G14" s="213">
        <f t="shared" si="1"/>
        <v>113.79552291603933</v>
      </c>
    </row>
    <row r="15" spans="1:7" s="70" customFormat="1" ht="30.75" customHeight="1" hidden="1">
      <c r="A15" s="214"/>
      <c r="B15" s="211" t="s">
        <v>221</v>
      </c>
      <c r="C15" s="212"/>
      <c r="D15" s="212"/>
      <c r="E15" s="212"/>
      <c r="F15" s="212"/>
      <c r="G15" s="213"/>
    </row>
    <row r="16" spans="1:7" s="70" customFormat="1" ht="30.75" customHeight="1">
      <c r="A16" s="214">
        <v>2</v>
      </c>
      <c r="B16" s="211" t="s">
        <v>88</v>
      </c>
      <c r="C16" s="212">
        <v>214108</v>
      </c>
      <c r="D16" s="212">
        <v>263075</v>
      </c>
      <c r="E16" s="518">
        <f>149570+123330</f>
        <v>272900</v>
      </c>
      <c r="F16" s="212">
        <f>E16-D16</f>
        <v>9825</v>
      </c>
      <c r="G16" s="213">
        <f>E16/D16*100</f>
        <v>103.73467642307325</v>
      </c>
    </row>
    <row r="17" spans="1:7" s="70" customFormat="1" ht="30.75" customHeight="1" hidden="1">
      <c r="A17" s="205" t="s">
        <v>22</v>
      </c>
      <c r="B17" s="209" t="s">
        <v>95</v>
      </c>
      <c r="C17" s="207"/>
      <c r="D17" s="207"/>
      <c r="E17" s="207"/>
      <c r="F17" s="207"/>
      <c r="G17" s="208"/>
    </row>
    <row r="18" spans="1:7" s="70" customFormat="1" ht="30.75" customHeight="1">
      <c r="A18" s="205" t="s">
        <v>22</v>
      </c>
      <c r="B18" s="209" t="s">
        <v>320</v>
      </c>
      <c r="C18" s="207"/>
      <c r="D18" s="207">
        <v>395</v>
      </c>
      <c r="E18" s="207"/>
      <c r="F18" s="207">
        <f aca="true" t="shared" si="2" ref="F18:F28">E18-D18</f>
        <v>-395</v>
      </c>
      <c r="G18" s="208">
        <f aca="true" t="shared" si="3" ref="G18:G28">E18/D18*100</f>
        <v>0</v>
      </c>
    </row>
    <row r="19" spans="1:7" s="70" customFormat="1" ht="30.75" customHeight="1">
      <c r="A19" s="205" t="s">
        <v>23</v>
      </c>
      <c r="B19" s="209" t="s">
        <v>72</v>
      </c>
      <c r="C19" s="207"/>
      <c r="D19" s="207">
        <v>92007</v>
      </c>
      <c r="E19" s="207"/>
      <c r="F19" s="207">
        <f t="shared" si="2"/>
        <v>-92007</v>
      </c>
      <c r="G19" s="208">
        <f t="shared" si="3"/>
        <v>0</v>
      </c>
    </row>
    <row r="20" spans="1:7" s="70" customFormat="1" ht="41.25" customHeight="1">
      <c r="A20" s="205" t="s">
        <v>11</v>
      </c>
      <c r="B20" s="209" t="s">
        <v>101</v>
      </c>
      <c r="C20" s="207">
        <f>C21+C26+C30</f>
        <v>948814</v>
      </c>
      <c r="D20" s="207">
        <f>D21+D26+D29+D30</f>
        <v>1095883</v>
      </c>
      <c r="E20" s="207">
        <f>E21+E26+E30</f>
        <v>1102382</v>
      </c>
      <c r="F20" s="207">
        <f t="shared" si="2"/>
        <v>6499</v>
      </c>
      <c r="G20" s="208">
        <f t="shared" si="3"/>
        <v>100.59303776041786</v>
      </c>
    </row>
    <row r="21" spans="1:7" s="70" customFormat="1" ht="30.75" customHeight="1">
      <c r="A21" s="205" t="s">
        <v>20</v>
      </c>
      <c r="B21" s="209" t="s">
        <v>58</v>
      </c>
      <c r="C21" s="207">
        <f>SUM(C22:C25)</f>
        <v>734706</v>
      </c>
      <c r="D21" s="207">
        <f>SUM(D22:D25)</f>
        <v>812899</v>
      </c>
      <c r="E21" s="207">
        <f>SUM(E22:E25)</f>
        <v>829482</v>
      </c>
      <c r="F21" s="207">
        <f t="shared" si="2"/>
        <v>16583</v>
      </c>
      <c r="G21" s="208">
        <f t="shared" si="3"/>
        <v>102.03998282689486</v>
      </c>
    </row>
    <row r="22" spans="1:9" s="70" customFormat="1" ht="30.75" customHeight="1">
      <c r="A22" s="214">
        <v>1</v>
      </c>
      <c r="B22" s="211" t="s">
        <v>24</v>
      </c>
      <c r="C22" s="212">
        <v>36868</v>
      </c>
      <c r="D22" s="212">
        <v>53775</v>
      </c>
      <c r="E22" s="212">
        <v>36645</v>
      </c>
      <c r="F22" s="212">
        <f t="shared" si="2"/>
        <v>-17130</v>
      </c>
      <c r="G22" s="213">
        <f t="shared" si="3"/>
        <v>68.14504881450489</v>
      </c>
      <c r="H22" s="72"/>
      <c r="I22" s="72"/>
    </row>
    <row r="23" spans="1:9" s="70" customFormat="1" ht="30.75" customHeight="1">
      <c r="A23" s="214">
        <f>A22+1</f>
        <v>2</v>
      </c>
      <c r="B23" s="211" t="s">
        <v>26</v>
      </c>
      <c r="C23" s="212">
        <v>683144</v>
      </c>
      <c r="D23" s="212">
        <v>759124</v>
      </c>
      <c r="E23" s="518">
        <f>772877+3410-40</f>
        <v>776247</v>
      </c>
      <c r="F23" s="212">
        <f t="shared" si="2"/>
        <v>17123</v>
      </c>
      <c r="G23" s="213">
        <f t="shared" si="3"/>
        <v>102.25562622180303</v>
      </c>
      <c r="H23" s="72"/>
      <c r="I23" s="72"/>
    </row>
    <row r="24" spans="1:9" s="70" customFormat="1" ht="30.75" customHeight="1">
      <c r="A24" s="214">
        <v>3</v>
      </c>
      <c r="B24" s="211" t="s">
        <v>29</v>
      </c>
      <c r="C24" s="212">
        <v>14694</v>
      </c>
      <c r="D24" s="212"/>
      <c r="E24" s="518">
        <f>16480+70+40</f>
        <v>16590</v>
      </c>
      <c r="F24" s="212">
        <f t="shared" si="2"/>
        <v>16590</v>
      </c>
      <c r="G24" s="213"/>
      <c r="H24" s="72"/>
      <c r="I24" s="72"/>
    </row>
    <row r="25" spans="1:7" s="70" customFormat="1" ht="30.75" customHeight="1" hidden="1">
      <c r="A25" s="214">
        <v>4</v>
      </c>
      <c r="B25" s="211" t="s">
        <v>75</v>
      </c>
      <c r="C25" s="212">
        <v>0</v>
      </c>
      <c r="D25" s="212"/>
      <c r="E25" s="212"/>
      <c r="F25" s="212">
        <f>E25-D25</f>
        <v>0</v>
      </c>
      <c r="G25" s="213"/>
    </row>
    <row r="26" spans="1:7" s="70" customFormat="1" ht="30.75" customHeight="1">
      <c r="A26" s="205" t="s">
        <v>21</v>
      </c>
      <c r="B26" s="209" t="s">
        <v>103</v>
      </c>
      <c r="C26" s="207">
        <f>SUM(C27:C28)</f>
        <v>214108</v>
      </c>
      <c r="D26" s="207">
        <f>SUM(D27:D28)</f>
        <v>193768</v>
      </c>
      <c r="E26" s="207">
        <f>SUM(E27:E28)</f>
        <v>272900</v>
      </c>
      <c r="F26" s="207">
        <f t="shared" si="2"/>
        <v>79132</v>
      </c>
      <c r="G26" s="208">
        <f t="shared" si="3"/>
        <v>140.8385285496057</v>
      </c>
    </row>
    <row r="27" spans="1:7" s="70" customFormat="1" ht="30.75" customHeight="1">
      <c r="A27" s="214">
        <v>1</v>
      </c>
      <c r="B27" s="211" t="s">
        <v>104</v>
      </c>
      <c r="C27" s="212">
        <v>210875</v>
      </c>
      <c r="D27" s="212">
        <v>190468</v>
      </c>
      <c r="E27" s="518">
        <f>147736+123330</f>
        <v>271066</v>
      </c>
      <c r="F27" s="212">
        <f t="shared" si="2"/>
        <v>80598</v>
      </c>
      <c r="G27" s="213">
        <f t="shared" si="3"/>
        <v>142.31576957809187</v>
      </c>
    </row>
    <row r="28" spans="1:7" s="70" customFormat="1" ht="30.75" customHeight="1">
      <c r="A28" s="214">
        <f>A27+1</f>
        <v>2</v>
      </c>
      <c r="B28" s="211" t="s">
        <v>201</v>
      </c>
      <c r="C28" s="212">
        <v>3233</v>
      </c>
      <c r="D28" s="212">
        <v>3300</v>
      </c>
      <c r="E28" s="212">
        <v>1834</v>
      </c>
      <c r="F28" s="212">
        <f t="shared" si="2"/>
        <v>-1466</v>
      </c>
      <c r="G28" s="213">
        <f t="shared" si="3"/>
        <v>55.57575757575758</v>
      </c>
    </row>
    <row r="29" spans="1:7" s="73" customFormat="1" ht="30.75" customHeight="1">
      <c r="A29" s="205" t="s">
        <v>22</v>
      </c>
      <c r="B29" s="209" t="s">
        <v>218</v>
      </c>
      <c r="C29" s="207"/>
      <c r="D29" s="519">
        <f>647+395</f>
        <v>1042</v>
      </c>
      <c r="E29" s="207"/>
      <c r="F29" s="212">
        <f>E29-D29</f>
        <v>-1042</v>
      </c>
      <c r="G29" s="213"/>
    </row>
    <row r="30" spans="1:7" s="70" customFormat="1" ht="33" customHeight="1" thickBot="1">
      <c r="A30" s="252" t="s">
        <v>23</v>
      </c>
      <c r="B30" s="253" t="s">
        <v>66</v>
      </c>
      <c r="C30" s="254"/>
      <c r="D30" s="520">
        <f>82869+5700-395</f>
        <v>88174</v>
      </c>
      <c r="E30" s="254"/>
      <c r="F30" s="212">
        <f>E30-D30</f>
        <v>-88174</v>
      </c>
      <c r="G30" s="213"/>
    </row>
    <row r="31" spans="1:7" ht="19.5" thickTop="1">
      <c r="A31" s="70"/>
      <c r="B31" s="74"/>
      <c r="C31" s="72"/>
      <c r="D31" s="72"/>
      <c r="E31" s="75"/>
      <c r="F31" s="70"/>
      <c r="G31" s="70"/>
    </row>
    <row r="32" spans="1:7" ht="11.25" customHeight="1">
      <c r="A32" s="70"/>
      <c r="B32" s="70"/>
      <c r="C32" s="70"/>
      <c r="D32" s="70"/>
      <c r="E32" s="76"/>
      <c r="F32" s="70"/>
      <c r="G32" s="70"/>
    </row>
    <row r="33" spans="1:7" ht="18.75">
      <c r="A33" s="70"/>
      <c r="B33" s="70"/>
      <c r="C33" s="70"/>
      <c r="D33" s="70"/>
      <c r="E33" s="76"/>
      <c r="F33" s="70"/>
      <c r="G33" s="70"/>
    </row>
    <row r="34" spans="1:7" ht="18.75">
      <c r="A34" s="70"/>
      <c r="B34" s="70"/>
      <c r="C34" s="70"/>
      <c r="D34" s="70"/>
      <c r="E34" s="76"/>
      <c r="F34" s="70"/>
      <c r="G34" s="70"/>
    </row>
    <row r="35" spans="1:7" ht="18.75">
      <c r="A35" s="70"/>
      <c r="B35" s="70"/>
      <c r="C35" s="70"/>
      <c r="D35" s="70"/>
      <c r="E35" s="76"/>
      <c r="F35" s="70"/>
      <c r="G35" s="70"/>
    </row>
    <row r="36" spans="1:7" ht="18.75">
      <c r="A36" s="70"/>
      <c r="B36" s="70"/>
      <c r="C36" s="70"/>
      <c r="D36" s="70"/>
      <c r="E36" s="76"/>
      <c r="F36" s="70"/>
      <c r="G36" s="70"/>
    </row>
    <row r="37" spans="1:7" ht="18.75">
      <c r="A37" s="70"/>
      <c r="B37" s="70"/>
      <c r="C37" s="70"/>
      <c r="D37" s="70"/>
      <c r="E37" s="76"/>
      <c r="F37" s="70"/>
      <c r="G37" s="70"/>
    </row>
    <row r="38" spans="1:7" ht="18.75">
      <c r="A38" s="70"/>
      <c r="B38" s="70"/>
      <c r="C38" s="70"/>
      <c r="D38" s="70"/>
      <c r="E38" s="76"/>
      <c r="F38" s="70"/>
      <c r="G38" s="70"/>
    </row>
    <row r="39" spans="1:7" ht="18.75">
      <c r="A39" s="70"/>
      <c r="B39" s="70"/>
      <c r="C39" s="70"/>
      <c r="D39" s="70"/>
      <c r="E39" s="76"/>
      <c r="F39" s="70"/>
      <c r="G39" s="70"/>
    </row>
    <row r="40" spans="1:7" ht="18.75">
      <c r="A40" s="70"/>
      <c r="B40" s="70"/>
      <c r="C40" s="70"/>
      <c r="D40" s="70"/>
      <c r="E40" s="76"/>
      <c r="F40" s="70"/>
      <c r="G40" s="70"/>
    </row>
    <row r="41" spans="1:7" ht="22.5" customHeight="1">
      <c r="A41" s="70"/>
      <c r="B41" s="70"/>
      <c r="C41" s="70"/>
      <c r="D41" s="70"/>
      <c r="E41" s="76"/>
      <c r="F41" s="70"/>
      <c r="G41" s="70"/>
    </row>
    <row r="42" spans="1:7" ht="18.75">
      <c r="A42" s="70"/>
      <c r="B42" s="70"/>
      <c r="C42" s="70"/>
      <c r="D42" s="70"/>
      <c r="E42" s="76"/>
      <c r="F42" s="70"/>
      <c r="G42" s="70"/>
    </row>
    <row r="43" spans="1:7" ht="18.75">
      <c r="A43" s="70"/>
      <c r="B43" s="70"/>
      <c r="C43" s="70"/>
      <c r="D43" s="70"/>
      <c r="E43" s="76"/>
      <c r="F43" s="70"/>
      <c r="G43" s="70"/>
    </row>
    <row r="44" spans="1:7" ht="18.75">
      <c r="A44" s="70"/>
      <c r="B44" s="70"/>
      <c r="C44" s="70"/>
      <c r="D44" s="70"/>
      <c r="E44" s="76"/>
      <c r="F44" s="70"/>
      <c r="G44" s="70"/>
    </row>
    <row r="45" spans="1:7" ht="18.75">
      <c r="A45" s="70"/>
      <c r="B45" s="70"/>
      <c r="C45" s="70"/>
      <c r="D45" s="70"/>
      <c r="E45" s="76"/>
      <c r="F45" s="70"/>
      <c r="G45" s="70"/>
    </row>
  </sheetData>
  <sheetProtection/>
  <mergeCells count="11">
    <mergeCell ref="A5:A7"/>
    <mergeCell ref="C5:C7"/>
    <mergeCell ref="D5:D7"/>
    <mergeCell ref="E5:E7"/>
    <mergeCell ref="F6:F7"/>
    <mergeCell ref="G6:G7"/>
    <mergeCell ref="A2:G2"/>
    <mergeCell ref="E4:G4"/>
    <mergeCell ref="F5:G5"/>
    <mergeCell ref="B5:B7"/>
    <mergeCell ref="A3:G3"/>
  </mergeCells>
  <printOptions horizontalCentered="1"/>
  <pageMargins left="0.56" right="0" top="0.69" bottom="0.17" header="0.17" footer="0.2"/>
  <pageSetup fitToHeight="0" fitToWidth="1" horizontalDpi="600" verticalDpi="600" orientation="portrait" paperSize="9" scale="82" r:id="rId1"/>
  <headerFooter alignWithMargins="0">
    <oddHeader xml:space="preserve">&amp;C                                                                                                                                  </oddHeader>
    <oddFooter>&amp;C&amp;".VnTime,Italic"&amp;8
</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U23"/>
  <sheetViews>
    <sheetView view="pageBreakPreview" zoomScale="90" zoomScaleNormal="85" zoomScaleSheetLayoutView="90" zoomScalePageLayoutView="0" workbookViewId="0" topLeftCell="A10">
      <selection activeCell="P25" sqref="P25"/>
    </sheetView>
  </sheetViews>
  <sheetFormatPr defaultColWidth="8.796875" defaultRowHeight="15"/>
  <cols>
    <col min="1" max="1" width="6.19921875" style="2" customWidth="1"/>
    <col min="2" max="2" width="37.69921875" style="2" customWidth="1"/>
    <col min="3" max="4" width="11.69921875" style="2" customWidth="1"/>
    <col min="5" max="8" width="8.59765625" style="2" hidden="1" customWidth="1"/>
    <col min="9" max="9" width="10.09765625" style="2" customWidth="1"/>
    <col min="10" max="11" width="8.59765625" style="2" hidden="1" customWidth="1"/>
    <col min="12" max="12" width="11.3984375" style="2" hidden="1" customWidth="1"/>
    <col min="13" max="14" width="11.69921875" style="2" customWidth="1"/>
    <col min="15" max="15" width="11.59765625" style="2" hidden="1" customWidth="1"/>
    <col min="16" max="19" width="11.69921875" style="2" customWidth="1"/>
    <col min="20" max="21" width="9.19921875" style="2" customWidth="1"/>
    <col min="22" max="16384" width="9" style="2" customWidth="1"/>
  </cols>
  <sheetData>
    <row r="1" spans="1:19" ht="23.25" customHeight="1">
      <c r="A1" s="117"/>
      <c r="B1" s="117"/>
      <c r="C1" s="118"/>
      <c r="D1" s="118"/>
      <c r="E1" s="118"/>
      <c r="F1" s="118"/>
      <c r="G1" s="117"/>
      <c r="H1" s="117"/>
      <c r="I1" s="117"/>
      <c r="J1" s="117"/>
      <c r="K1" s="117"/>
      <c r="L1" s="118"/>
      <c r="M1" s="118"/>
      <c r="N1" s="118"/>
      <c r="O1" s="119"/>
      <c r="Q1" s="119"/>
      <c r="R1" s="33"/>
      <c r="S1" s="120" t="s">
        <v>183</v>
      </c>
    </row>
    <row r="2" spans="1:19" ht="19.5" customHeight="1">
      <c r="A2" s="117" t="s">
        <v>150</v>
      </c>
      <c r="B2" s="117"/>
      <c r="C2" s="118"/>
      <c r="D2" s="118"/>
      <c r="E2" s="118"/>
      <c r="F2" s="118"/>
      <c r="G2" s="118"/>
      <c r="H2" s="118"/>
      <c r="I2" s="118"/>
      <c r="J2" s="118"/>
      <c r="K2" s="118"/>
      <c r="L2" s="118"/>
      <c r="M2" s="118"/>
      <c r="N2" s="118"/>
      <c r="O2" s="118"/>
      <c r="P2" s="118"/>
      <c r="Q2" s="118"/>
      <c r="R2" s="118"/>
      <c r="S2" s="118"/>
    </row>
    <row r="3" spans="1:19" ht="19.5" customHeight="1">
      <c r="A3" s="117" t="s">
        <v>357</v>
      </c>
      <c r="B3" s="117"/>
      <c r="C3" s="118"/>
      <c r="D3" s="118"/>
      <c r="E3" s="118"/>
      <c r="F3" s="118"/>
      <c r="G3" s="118"/>
      <c r="H3" s="118"/>
      <c r="I3" s="118"/>
      <c r="J3" s="118"/>
      <c r="K3" s="118"/>
      <c r="L3" s="118"/>
      <c r="M3" s="118"/>
      <c r="N3" s="118"/>
      <c r="O3" s="118"/>
      <c r="P3" s="118"/>
      <c r="Q3" s="118"/>
      <c r="R3" s="118"/>
      <c r="S3" s="118"/>
    </row>
    <row r="4" spans="1:19" s="3" customFormat="1" ht="19.5" customHeight="1">
      <c r="A4" s="121" t="str">
        <f>PL15!A3</f>
        <v>(Kèm theo Nghị quyết số       /NQ-HĐND ngày          tháng 12 năm 2023 của HĐND huyện Tuần Giáo)</v>
      </c>
      <c r="B4" s="122"/>
      <c r="C4" s="121"/>
      <c r="D4" s="121"/>
      <c r="E4" s="121"/>
      <c r="F4" s="121"/>
      <c r="G4" s="121"/>
      <c r="H4" s="121"/>
      <c r="I4" s="121"/>
      <c r="J4" s="121"/>
      <c r="K4" s="121"/>
      <c r="L4" s="121"/>
      <c r="M4" s="121"/>
      <c r="N4" s="121"/>
      <c r="O4" s="121"/>
      <c r="P4" s="121"/>
      <c r="Q4" s="121"/>
      <c r="R4" s="121"/>
      <c r="S4" s="121"/>
    </row>
    <row r="5" spans="1:19" ht="26.25" customHeight="1">
      <c r="A5" s="123"/>
      <c r="B5" s="123"/>
      <c r="C5" s="119"/>
      <c r="D5" s="119"/>
      <c r="E5" s="119"/>
      <c r="F5" s="119"/>
      <c r="G5" s="124"/>
      <c r="H5" s="124"/>
      <c r="I5" s="124"/>
      <c r="J5" s="124"/>
      <c r="K5" s="124"/>
      <c r="L5" s="124"/>
      <c r="M5" s="124"/>
      <c r="N5" s="124"/>
      <c r="O5" s="124"/>
      <c r="P5" s="119"/>
      <c r="Q5" s="119"/>
      <c r="R5" s="440" t="s">
        <v>90</v>
      </c>
      <c r="S5" s="440"/>
    </row>
    <row r="6" spans="1:19" ht="21.75" customHeight="1">
      <c r="A6" s="439" t="s">
        <v>60</v>
      </c>
      <c r="B6" s="441" t="s">
        <v>31</v>
      </c>
      <c r="C6" s="441" t="s">
        <v>79</v>
      </c>
      <c r="D6" s="439" t="s">
        <v>65</v>
      </c>
      <c r="E6" s="439" t="s">
        <v>49</v>
      </c>
      <c r="F6" s="439" t="s">
        <v>108</v>
      </c>
      <c r="G6" s="439" t="s">
        <v>109</v>
      </c>
      <c r="H6" s="439" t="s">
        <v>110</v>
      </c>
      <c r="I6" s="439" t="s">
        <v>111</v>
      </c>
      <c r="J6" s="439" t="s">
        <v>112</v>
      </c>
      <c r="K6" s="439" t="s">
        <v>113</v>
      </c>
      <c r="L6" s="439" t="s">
        <v>114</v>
      </c>
      <c r="M6" s="439" t="s">
        <v>115</v>
      </c>
      <c r="N6" s="439" t="s">
        <v>32</v>
      </c>
      <c r="O6" s="439"/>
      <c r="P6" s="439"/>
      <c r="Q6" s="439" t="s">
        <v>116</v>
      </c>
      <c r="R6" s="439" t="s">
        <v>117</v>
      </c>
      <c r="S6" s="439" t="s">
        <v>118</v>
      </c>
    </row>
    <row r="7" spans="1:19" ht="13.5" customHeight="1">
      <c r="A7" s="439"/>
      <c r="B7" s="441"/>
      <c r="C7" s="441"/>
      <c r="D7" s="439"/>
      <c r="E7" s="439"/>
      <c r="F7" s="439"/>
      <c r="G7" s="439"/>
      <c r="H7" s="439"/>
      <c r="I7" s="439"/>
      <c r="J7" s="439"/>
      <c r="K7" s="439"/>
      <c r="L7" s="439"/>
      <c r="M7" s="439"/>
      <c r="N7" s="439" t="s">
        <v>122</v>
      </c>
      <c r="O7" s="439" t="s">
        <v>123</v>
      </c>
      <c r="P7" s="439" t="s">
        <v>326</v>
      </c>
      <c r="Q7" s="439"/>
      <c r="R7" s="439"/>
      <c r="S7" s="439"/>
    </row>
    <row r="8" spans="1:19" ht="13.5" customHeight="1">
      <c r="A8" s="439"/>
      <c r="B8" s="441"/>
      <c r="C8" s="441"/>
      <c r="D8" s="439"/>
      <c r="E8" s="439"/>
      <c r="F8" s="439"/>
      <c r="G8" s="439"/>
      <c r="H8" s="439"/>
      <c r="I8" s="439"/>
      <c r="J8" s="439"/>
      <c r="K8" s="439"/>
      <c r="L8" s="439"/>
      <c r="M8" s="439"/>
      <c r="N8" s="439"/>
      <c r="O8" s="439"/>
      <c r="P8" s="439"/>
      <c r="Q8" s="439"/>
      <c r="R8" s="439"/>
      <c r="S8" s="439"/>
    </row>
    <row r="9" spans="1:19" ht="78.75" customHeight="1">
      <c r="A9" s="439"/>
      <c r="B9" s="441"/>
      <c r="C9" s="441"/>
      <c r="D9" s="439"/>
      <c r="E9" s="439"/>
      <c r="F9" s="439"/>
      <c r="G9" s="439"/>
      <c r="H9" s="439"/>
      <c r="I9" s="439"/>
      <c r="J9" s="439"/>
      <c r="K9" s="439"/>
      <c r="L9" s="439"/>
      <c r="M9" s="439"/>
      <c r="N9" s="439"/>
      <c r="O9" s="439"/>
      <c r="P9" s="439"/>
      <c r="Q9" s="439"/>
      <c r="R9" s="439"/>
      <c r="S9" s="439"/>
    </row>
    <row r="10" spans="1:19" s="33" customFormat="1" ht="22.5" customHeight="1">
      <c r="A10" s="31" t="s">
        <v>10</v>
      </c>
      <c r="B10" s="31" t="s">
        <v>11</v>
      </c>
      <c r="C10" s="31">
        <v>1</v>
      </c>
      <c r="D10" s="32">
        <f>C10+1</f>
        <v>2</v>
      </c>
      <c r="E10" s="32">
        <f aca="true" t="shared" si="0" ref="E10:S10">D10+1</f>
        <v>3</v>
      </c>
      <c r="F10" s="32">
        <f t="shared" si="0"/>
        <v>4</v>
      </c>
      <c r="G10" s="32">
        <f t="shared" si="0"/>
        <v>5</v>
      </c>
      <c r="H10" s="32">
        <f t="shared" si="0"/>
        <v>6</v>
      </c>
      <c r="I10" s="32">
        <v>3</v>
      </c>
      <c r="J10" s="32">
        <f t="shared" si="0"/>
        <v>4</v>
      </c>
      <c r="K10" s="32">
        <f t="shared" si="0"/>
        <v>5</v>
      </c>
      <c r="L10" s="32">
        <f t="shared" si="0"/>
        <v>6</v>
      </c>
      <c r="M10" s="32">
        <v>4</v>
      </c>
      <c r="N10" s="32">
        <v>5</v>
      </c>
      <c r="O10" s="32"/>
      <c r="P10" s="32">
        <v>6</v>
      </c>
      <c r="Q10" s="32">
        <v>7</v>
      </c>
      <c r="R10" s="32">
        <f t="shared" si="0"/>
        <v>8</v>
      </c>
      <c r="S10" s="32">
        <f t="shared" si="0"/>
        <v>9</v>
      </c>
    </row>
    <row r="11" spans="1:21" ht="23.25" customHeight="1">
      <c r="A11" s="31"/>
      <c r="B11" s="125" t="s">
        <v>30</v>
      </c>
      <c r="C11" s="126">
        <f>+C12+C17</f>
        <v>157455</v>
      </c>
      <c r="D11" s="126">
        <f aca="true" t="shared" si="1" ref="D11:S11">+D12+D17</f>
        <v>2966</v>
      </c>
      <c r="E11" s="126">
        <f t="shared" si="1"/>
        <v>0</v>
      </c>
      <c r="F11" s="126">
        <f t="shared" si="1"/>
        <v>0</v>
      </c>
      <c r="G11" s="126">
        <f t="shared" si="1"/>
        <v>0</v>
      </c>
      <c r="H11" s="126">
        <f t="shared" si="1"/>
        <v>0</v>
      </c>
      <c r="I11" s="126">
        <f t="shared" si="1"/>
        <v>1600</v>
      </c>
      <c r="J11" s="126">
        <f t="shared" si="1"/>
        <v>0</v>
      </c>
      <c r="K11" s="126">
        <f t="shared" si="1"/>
        <v>0</v>
      </c>
      <c r="L11" s="126">
        <f t="shared" si="1"/>
        <v>0</v>
      </c>
      <c r="M11" s="126">
        <f t="shared" si="1"/>
        <v>152889</v>
      </c>
      <c r="N11" s="126">
        <f t="shared" si="1"/>
        <v>135830</v>
      </c>
      <c r="O11" s="126">
        <f t="shared" si="1"/>
        <v>0</v>
      </c>
      <c r="P11" s="126">
        <f t="shared" si="1"/>
        <v>17059</v>
      </c>
      <c r="Q11" s="126">
        <f t="shared" si="1"/>
        <v>0</v>
      </c>
      <c r="R11" s="126">
        <f t="shared" si="1"/>
        <v>0</v>
      </c>
      <c r="S11" s="126">
        <f t="shared" si="1"/>
        <v>0</v>
      </c>
      <c r="U11" s="34"/>
    </row>
    <row r="12" spans="1:21" s="503" customFormat="1" ht="23.25" customHeight="1">
      <c r="A12" s="500" t="s">
        <v>20</v>
      </c>
      <c r="B12" s="501" t="s">
        <v>387</v>
      </c>
      <c r="C12" s="502">
        <f>+C13+C15</f>
        <v>34125</v>
      </c>
      <c r="D12" s="502">
        <f aca="true" t="shared" si="2" ref="D12:S12">+D13+D15</f>
        <v>2966</v>
      </c>
      <c r="E12" s="502">
        <f t="shared" si="2"/>
        <v>0</v>
      </c>
      <c r="F12" s="502">
        <f t="shared" si="2"/>
        <v>0</v>
      </c>
      <c r="G12" s="502">
        <f t="shared" si="2"/>
        <v>0</v>
      </c>
      <c r="H12" s="502">
        <f t="shared" si="2"/>
        <v>0</v>
      </c>
      <c r="I12" s="502">
        <f t="shared" si="2"/>
        <v>1600</v>
      </c>
      <c r="J12" s="502">
        <f t="shared" si="2"/>
        <v>0</v>
      </c>
      <c r="K12" s="502">
        <f t="shared" si="2"/>
        <v>0</v>
      </c>
      <c r="L12" s="502">
        <f t="shared" si="2"/>
        <v>0</v>
      </c>
      <c r="M12" s="502">
        <f t="shared" si="2"/>
        <v>29559</v>
      </c>
      <c r="N12" s="502">
        <f t="shared" si="2"/>
        <v>12500</v>
      </c>
      <c r="O12" s="502">
        <f t="shared" si="2"/>
        <v>0</v>
      </c>
      <c r="P12" s="502">
        <f t="shared" si="2"/>
        <v>17059</v>
      </c>
      <c r="Q12" s="502">
        <f t="shared" si="2"/>
        <v>0</v>
      </c>
      <c r="R12" s="502">
        <f t="shared" si="2"/>
        <v>0</v>
      </c>
      <c r="S12" s="502">
        <f t="shared" si="2"/>
        <v>0</v>
      </c>
      <c r="U12" s="504"/>
    </row>
    <row r="13" spans="1:19" s="19" customFormat="1" ht="23.25" customHeight="1">
      <c r="A13" s="31">
        <v>1</v>
      </c>
      <c r="B13" s="125" t="s">
        <v>314</v>
      </c>
      <c r="C13" s="126">
        <f>C14</f>
        <v>24045</v>
      </c>
      <c r="D13" s="126">
        <f aca="true" t="shared" si="3" ref="D13:S13">D14</f>
        <v>2966</v>
      </c>
      <c r="E13" s="126">
        <f t="shared" si="3"/>
        <v>0</v>
      </c>
      <c r="F13" s="126">
        <f t="shared" si="3"/>
        <v>0</v>
      </c>
      <c r="G13" s="126">
        <f t="shared" si="3"/>
        <v>0</v>
      </c>
      <c r="H13" s="126">
        <f t="shared" si="3"/>
        <v>0</v>
      </c>
      <c r="I13" s="126">
        <f t="shared" si="3"/>
        <v>0</v>
      </c>
      <c r="J13" s="126">
        <f t="shared" si="3"/>
        <v>0</v>
      </c>
      <c r="K13" s="126">
        <f t="shared" si="3"/>
        <v>0</v>
      </c>
      <c r="L13" s="126">
        <f t="shared" si="3"/>
        <v>0</v>
      </c>
      <c r="M13" s="126">
        <f t="shared" si="3"/>
        <v>21079</v>
      </c>
      <c r="N13" s="126">
        <f t="shared" si="3"/>
        <v>8020</v>
      </c>
      <c r="O13" s="126">
        <f t="shared" si="3"/>
        <v>0</v>
      </c>
      <c r="P13" s="126">
        <f t="shared" si="3"/>
        <v>13059</v>
      </c>
      <c r="Q13" s="126">
        <f t="shared" si="3"/>
        <v>0</v>
      </c>
      <c r="R13" s="126">
        <f t="shared" si="3"/>
        <v>0</v>
      </c>
      <c r="S13" s="126">
        <f t="shared" si="3"/>
        <v>0</v>
      </c>
    </row>
    <row r="14" spans="1:21" ht="23.25" customHeight="1">
      <c r="A14" s="127"/>
      <c r="B14" s="128" t="s">
        <v>327</v>
      </c>
      <c r="C14" s="129">
        <f>SUM(D14:M14)+Q14+R14+S14</f>
        <v>24045</v>
      </c>
      <c r="D14" s="129">
        <v>2966</v>
      </c>
      <c r="E14" s="129"/>
      <c r="F14" s="129"/>
      <c r="G14" s="129"/>
      <c r="H14" s="129"/>
      <c r="I14" s="129"/>
      <c r="J14" s="129"/>
      <c r="K14" s="129"/>
      <c r="L14" s="129"/>
      <c r="M14" s="129">
        <f>N14+O14+P14</f>
        <v>21079</v>
      </c>
      <c r="N14" s="129">
        <v>8020</v>
      </c>
      <c r="O14" s="129"/>
      <c r="P14" s="129">
        <v>13059</v>
      </c>
      <c r="Q14" s="129"/>
      <c r="R14" s="129"/>
      <c r="S14" s="129"/>
      <c r="U14" s="34"/>
    </row>
    <row r="15" spans="1:19" s="19" customFormat="1" ht="23.25" customHeight="1">
      <c r="A15" s="31">
        <v>2</v>
      </c>
      <c r="B15" s="125" t="s">
        <v>315</v>
      </c>
      <c r="C15" s="126">
        <f>C16</f>
        <v>10080</v>
      </c>
      <c r="D15" s="126">
        <f aca="true" t="shared" si="4" ref="D15:S15">D16</f>
        <v>0</v>
      </c>
      <c r="E15" s="126">
        <f t="shared" si="4"/>
        <v>0</v>
      </c>
      <c r="F15" s="126">
        <f t="shared" si="4"/>
        <v>0</v>
      </c>
      <c r="G15" s="126">
        <f t="shared" si="4"/>
        <v>0</v>
      </c>
      <c r="H15" s="126">
        <f t="shared" si="4"/>
        <v>0</v>
      </c>
      <c r="I15" s="126">
        <f t="shared" si="4"/>
        <v>1600</v>
      </c>
      <c r="J15" s="126">
        <f t="shared" si="4"/>
        <v>0</v>
      </c>
      <c r="K15" s="126">
        <f t="shared" si="4"/>
        <v>0</v>
      </c>
      <c r="L15" s="126">
        <f t="shared" si="4"/>
        <v>0</v>
      </c>
      <c r="M15" s="126">
        <f t="shared" si="4"/>
        <v>8480</v>
      </c>
      <c r="N15" s="126">
        <f t="shared" si="4"/>
        <v>4480</v>
      </c>
      <c r="O15" s="126">
        <f t="shared" si="4"/>
        <v>0</v>
      </c>
      <c r="P15" s="126">
        <f t="shared" si="4"/>
        <v>4000</v>
      </c>
      <c r="Q15" s="126">
        <f t="shared" si="4"/>
        <v>0</v>
      </c>
      <c r="R15" s="126">
        <f t="shared" si="4"/>
        <v>0</v>
      </c>
      <c r="S15" s="126">
        <f t="shared" si="4"/>
        <v>0</v>
      </c>
    </row>
    <row r="16" spans="1:19" ht="23.25" customHeight="1">
      <c r="A16" s="127"/>
      <c r="B16" s="128" t="s">
        <v>327</v>
      </c>
      <c r="C16" s="129">
        <f>SUM(D16:M16)+Q16+R16+S16</f>
        <v>10080</v>
      </c>
      <c r="D16" s="129"/>
      <c r="E16" s="129"/>
      <c r="F16" s="129"/>
      <c r="G16" s="129"/>
      <c r="H16" s="129"/>
      <c r="I16" s="129">
        <v>1600</v>
      </c>
      <c r="J16" s="129"/>
      <c r="K16" s="129"/>
      <c r="L16" s="129"/>
      <c r="M16" s="129">
        <f>N16+O16+P16</f>
        <v>8480</v>
      </c>
      <c r="N16" s="129">
        <v>4480</v>
      </c>
      <c r="O16" s="129"/>
      <c r="P16" s="129">
        <v>4000</v>
      </c>
      <c r="Q16" s="129"/>
      <c r="R16" s="129"/>
      <c r="S16" s="129"/>
    </row>
    <row r="17" spans="1:19" s="508" customFormat="1" ht="23.25" customHeight="1">
      <c r="A17" s="505" t="s">
        <v>21</v>
      </c>
      <c r="B17" s="506" t="s">
        <v>386</v>
      </c>
      <c r="C17" s="507">
        <f>C18</f>
        <v>123330</v>
      </c>
      <c r="D17" s="507">
        <f aca="true" t="shared" si="5" ref="D17:S17">D18</f>
        <v>0</v>
      </c>
      <c r="E17" s="507">
        <f t="shared" si="5"/>
        <v>0</v>
      </c>
      <c r="F17" s="507">
        <f t="shared" si="5"/>
        <v>0</v>
      </c>
      <c r="G17" s="507">
        <f t="shared" si="5"/>
        <v>0</v>
      </c>
      <c r="H17" s="507">
        <f t="shared" si="5"/>
        <v>0</v>
      </c>
      <c r="I17" s="507">
        <f t="shared" si="5"/>
        <v>0</v>
      </c>
      <c r="J17" s="507">
        <f t="shared" si="5"/>
        <v>0</v>
      </c>
      <c r="K17" s="507">
        <f t="shared" si="5"/>
        <v>0</v>
      </c>
      <c r="L17" s="507">
        <f t="shared" si="5"/>
        <v>0</v>
      </c>
      <c r="M17" s="507">
        <f t="shared" si="5"/>
        <v>123330</v>
      </c>
      <c r="N17" s="507">
        <f t="shared" si="5"/>
        <v>123330</v>
      </c>
      <c r="O17" s="507">
        <f t="shared" si="5"/>
        <v>0</v>
      </c>
      <c r="P17" s="507">
        <f t="shared" si="5"/>
        <v>0</v>
      </c>
      <c r="Q17" s="507">
        <f t="shared" si="5"/>
        <v>0</v>
      </c>
      <c r="R17" s="507">
        <f t="shared" si="5"/>
        <v>0</v>
      </c>
      <c r="S17" s="507">
        <f t="shared" si="5"/>
        <v>0</v>
      </c>
    </row>
    <row r="18" spans="1:19" s="1" customFormat="1" ht="23.25" customHeight="1">
      <c r="A18" s="491"/>
      <c r="B18" s="492" t="s">
        <v>327</v>
      </c>
      <c r="C18" s="493">
        <f>SUM(D18:M18)+Q18+R18+S18</f>
        <v>123330</v>
      </c>
      <c r="D18" s="493"/>
      <c r="E18" s="493"/>
      <c r="F18" s="493"/>
      <c r="G18" s="493"/>
      <c r="H18" s="493"/>
      <c r="I18" s="493"/>
      <c r="J18" s="493"/>
      <c r="K18" s="493"/>
      <c r="L18" s="493"/>
      <c r="M18" s="494">
        <f>N18+O18+P18</f>
        <v>123330</v>
      </c>
      <c r="N18" s="515">
        <f>110034+3000+10296</f>
        <v>123330</v>
      </c>
      <c r="O18" s="493"/>
      <c r="P18" s="493"/>
      <c r="Q18" s="493"/>
      <c r="R18" s="493"/>
      <c r="S18" s="493"/>
    </row>
    <row r="19" spans="1:19" s="19" customFormat="1" ht="23.25" customHeight="1" hidden="1">
      <c r="A19" s="488" t="s">
        <v>22</v>
      </c>
      <c r="B19" s="489" t="s">
        <v>179</v>
      </c>
      <c r="C19" s="490">
        <f>C20</f>
        <v>0</v>
      </c>
      <c r="D19" s="490">
        <f aca="true" t="shared" si="6" ref="D19:S19">D20</f>
        <v>0</v>
      </c>
      <c r="E19" s="490">
        <f t="shared" si="6"/>
        <v>0</v>
      </c>
      <c r="F19" s="490">
        <f t="shared" si="6"/>
        <v>0</v>
      </c>
      <c r="G19" s="490">
        <f t="shared" si="6"/>
        <v>0</v>
      </c>
      <c r="H19" s="490">
        <f t="shared" si="6"/>
        <v>0</v>
      </c>
      <c r="I19" s="490">
        <f t="shared" si="6"/>
        <v>0</v>
      </c>
      <c r="J19" s="490">
        <f t="shared" si="6"/>
        <v>0</v>
      </c>
      <c r="K19" s="490">
        <f t="shared" si="6"/>
        <v>0</v>
      </c>
      <c r="L19" s="490">
        <f t="shared" si="6"/>
        <v>0</v>
      </c>
      <c r="M19" s="490">
        <f t="shared" si="6"/>
        <v>0</v>
      </c>
      <c r="N19" s="490">
        <f t="shared" si="6"/>
        <v>0</v>
      </c>
      <c r="O19" s="490">
        <f t="shared" si="6"/>
        <v>0</v>
      </c>
      <c r="P19" s="490">
        <f t="shared" si="6"/>
        <v>0</v>
      </c>
      <c r="Q19" s="490">
        <f t="shared" si="6"/>
        <v>0</v>
      </c>
      <c r="R19" s="490">
        <f t="shared" si="6"/>
        <v>0</v>
      </c>
      <c r="S19" s="490">
        <f t="shared" si="6"/>
        <v>0</v>
      </c>
    </row>
    <row r="20" spans="1:19" ht="23.25" customHeight="1" hidden="1">
      <c r="A20" s="495">
        <v>1</v>
      </c>
      <c r="B20" s="496" t="s">
        <v>327</v>
      </c>
      <c r="C20" s="494">
        <f>SUM(D20:M20)+Q20+R20+S20</f>
        <v>0</v>
      </c>
      <c r="D20" s="494"/>
      <c r="E20" s="494"/>
      <c r="F20" s="494"/>
      <c r="G20" s="494"/>
      <c r="H20" s="494"/>
      <c r="I20" s="494"/>
      <c r="J20" s="494"/>
      <c r="K20" s="494"/>
      <c r="L20" s="494"/>
      <c r="M20" s="494">
        <f>N20+O20+P20</f>
        <v>0</v>
      </c>
      <c r="N20" s="494"/>
      <c r="O20" s="494"/>
      <c r="P20" s="494"/>
      <c r="Q20" s="494"/>
      <c r="R20" s="494"/>
      <c r="S20" s="494"/>
    </row>
    <row r="21" spans="1:2" ht="15.75">
      <c r="A21" s="3"/>
      <c r="B21" s="3"/>
    </row>
    <row r="22" spans="1:2" ht="15.75">
      <c r="A22" s="3"/>
      <c r="B22" s="3"/>
    </row>
    <row r="23" spans="2:14" ht="15.75">
      <c r="B23" s="3"/>
      <c r="N23" s="34">
        <f>N18-PL38!D25</f>
        <v>0</v>
      </c>
    </row>
    <row r="31" ht="22.5" customHeight="1"/>
  </sheetData>
  <sheetProtection/>
  <mergeCells count="21">
    <mergeCell ref="A6:A9"/>
    <mergeCell ref="B6:B9"/>
    <mergeCell ref="C6:C9"/>
    <mergeCell ref="D6:D9"/>
    <mergeCell ref="E6:E9"/>
    <mergeCell ref="F6:F9"/>
    <mergeCell ref="S6:S9"/>
    <mergeCell ref="P7:P9"/>
    <mergeCell ref="Q6:Q9"/>
    <mergeCell ref="R6:R9"/>
    <mergeCell ref="N7:N9"/>
    <mergeCell ref="R5:S5"/>
    <mergeCell ref="O7:O9"/>
    <mergeCell ref="M6:M9"/>
    <mergeCell ref="G6:G9"/>
    <mergeCell ref="H6:H9"/>
    <mergeCell ref="I6:I9"/>
    <mergeCell ref="N6:P6"/>
    <mergeCell ref="J6:J9"/>
    <mergeCell ref="K6:K9"/>
    <mergeCell ref="L6:L9"/>
  </mergeCells>
  <printOptions/>
  <pageMargins left="0.35" right="0.35" top="0.58" bottom="0.75" header="0.3" footer="0.3"/>
  <pageSetup fitToHeight="0" fitToWidth="1" horizontalDpi="600" verticalDpi="600" orientation="landscape" paperSize="9" scale="88"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U62"/>
  <sheetViews>
    <sheetView view="pageBreakPreview" zoomScale="80" zoomScaleNormal="70" zoomScaleSheetLayoutView="80" workbookViewId="0" topLeftCell="A1">
      <pane xSplit="3" ySplit="11" topLeftCell="D12" activePane="bottomRight" state="frozen"/>
      <selection pane="topLeft" activeCell="A1" sqref="A1"/>
      <selection pane="topRight" activeCell="D1" sqref="D1"/>
      <selection pane="bottomLeft" activeCell="A12" sqref="A12"/>
      <selection pane="bottomRight" activeCell="H41" sqref="H41"/>
    </sheetView>
  </sheetViews>
  <sheetFormatPr defaultColWidth="8.796875" defaultRowHeight="15"/>
  <cols>
    <col min="1" max="1" width="4.19921875" style="371" customWidth="1"/>
    <col min="2" max="2" width="40" style="371" customWidth="1"/>
    <col min="3" max="3" width="12.3984375" style="371" customWidth="1"/>
    <col min="4" max="4" width="9.69921875" style="371" customWidth="1"/>
    <col min="5" max="5" width="7.09765625" style="371" customWidth="1"/>
    <col min="6" max="6" width="7.5" style="371" customWidth="1"/>
    <col min="7" max="7" width="8.09765625" style="371" customWidth="1"/>
    <col min="8" max="8" width="8.59765625" style="371" customWidth="1"/>
    <col min="9" max="9" width="7.19921875" style="371" customWidth="1"/>
    <col min="10" max="10" width="7.3984375" style="371" customWidth="1"/>
    <col min="11" max="11" width="6.19921875" style="371" customWidth="1"/>
    <col min="12" max="12" width="7.09765625" style="371" customWidth="1"/>
    <col min="13" max="13" width="9" style="371" customWidth="1"/>
    <col min="14" max="14" width="8.59765625" style="371" customWidth="1"/>
    <col min="15" max="15" width="10" style="371" customWidth="1"/>
    <col min="16" max="16" width="8.69921875" style="371" customWidth="1"/>
    <col min="17" max="17" width="9.8984375" style="371" customWidth="1"/>
    <col min="18" max="18" width="8.8984375" style="371" customWidth="1"/>
    <col min="19" max="19" width="7.69921875" style="371" customWidth="1"/>
    <col min="20" max="21" width="9.19921875" style="371" hidden="1" customWidth="1"/>
    <col min="22" max="16384" width="9" style="371" customWidth="1"/>
  </cols>
  <sheetData>
    <row r="1" spans="1:19" ht="26.25" customHeight="1">
      <c r="A1" s="94"/>
      <c r="B1" s="94"/>
      <c r="C1" s="95"/>
      <c r="D1" s="95"/>
      <c r="E1" s="95"/>
      <c r="F1" s="95"/>
      <c r="G1" s="373"/>
      <c r="H1" s="373"/>
      <c r="I1" s="373"/>
      <c r="J1" s="373"/>
      <c r="K1" s="373"/>
      <c r="L1" s="95"/>
      <c r="M1" s="95"/>
      <c r="N1" s="95"/>
      <c r="O1" s="95"/>
      <c r="P1" s="95"/>
      <c r="Q1" s="96"/>
      <c r="R1" s="374"/>
      <c r="S1" s="375" t="s">
        <v>182</v>
      </c>
    </row>
    <row r="2" spans="1:19" s="377" customFormat="1" ht="18.75" customHeight="1">
      <c r="A2" s="373" t="s">
        <v>151</v>
      </c>
      <c r="B2" s="373"/>
      <c r="C2" s="376"/>
      <c r="D2" s="376"/>
      <c r="E2" s="376"/>
      <c r="F2" s="376"/>
      <c r="G2" s="376"/>
      <c r="H2" s="376"/>
      <c r="I2" s="376"/>
      <c r="J2" s="376"/>
      <c r="K2" s="376"/>
      <c r="L2" s="376"/>
      <c r="M2" s="376"/>
      <c r="N2" s="376"/>
      <c r="O2" s="376"/>
      <c r="P2" s="376"/>
      <c r="Q2" s="376"/>
      <c r="R2" s="376"/>
      <c r="S2" s="376"/>
    </row>
    <row r="3" spans="1:19" s="377" customFormat="1" ht="21.75" customHeight="1">
      <c r="A3" s="373" t="s">
        <v>362</v>
      </c>
      <c r="B3" s="373"/>
      <c r="C3" s="376"/>
      <c r="D3" s="376"/>
      <c r="E3" s="376"/>
      <c r="F3" s="376"/>
      <c r="G3" s="376"/>
      <c r="H3" s="376"/>
      <c r="I3" s="376"/>
      <c r="J3" s="376"/>
      <c r="K3" s="376"/>
      <c r="L3" s="376"/>
      <c r="M3" s="376"/>
      <c r="N3" s="376"/>
      <c r="O3" s="376"/>
      <c r="P3" s="376"/>
      <c r="Q3" s="376"/>
      <c r="R3" s="376"/>
      <c r="S3" s="376"/>
    </row>
    <row r="4" spans="1:19" ht="20.25" customHeight="1">
      <c r="A4" s="427" t="str">
        <f>PL36!A4</f>
        <v>(Kèm theo Nghị quyết số       /NQ-HĐND ngày          tháng 12 năm 2023 của HĐND huyện Tuần Giáo)</v>
      </c>
      <c r="B4" s="427"/>
      <c r="C4" s="427"/>
      <c r="D4" s="427"/>
      <c r="E4" s="427"/>
      <c r="F4" s="427"/>
      <c r="G4" s="427"/>
      <c r="H4" s="427"/>
      <c r="I4" s="427"/>
      <c r="J4" s="427"/>
      <c r="K4" s="427"/>
      <c r="L4" s="427"/>
      <c r="M4" s="427"/>
      <c r="N4" s="427"/>
      <c r="O4" s="427"/>
      <c r="P4" s="427"/>
      <c r="Q4" s="427"/>
      <c r="R4" s="427"/>
      <c r="S4" s="427"/>
    </row>
    <row r="5" spans="1:19" ht="23.25" customHeight="1">
      <c r="A5" s="99"/>
      <c r="B5" s="99"/>
      <c r="C5" s="100"/>
      <c r="D5" s="100"/>
      <c r="E5" s="100"/>
      <c r="F5" s="100"/>
      <c r="G5" s="378"/>
      <c r="H5" s="378"/>
      <c r="I5" s="378"/>
      <c r="J5" s="378"/>
      <c r="K5" s="378"/>
      <c r="L5" s="378"/>
      <c r="M5" s="378"/>
      <c r="N5" s="378"/>
      <c r="O5" s="378"/>
      <c r="P5" s="378"/>
      <c r="Q5" s="378"/>
      <c r="R5" s="378"/>
      <c r="S5" s="379" t="s">
        <v>90</v>
      </c>
    </row>
    <row r="6" spans="1:19" s="380" customFormat="1" ht="15" customHeight="1">
      <c r="A6" s="442" t="s">
        <v>60</v>
      </c>
      <c r="B6" s="443" t="s">
        <v>31</v>
      </c>
      <c r="C6" s="443" t="s">
        <v>79</v>
      </c>
      <c r="D6" s="442" t="s">
        <v>65</v>
      </c>
      <c r="E6" s="442" t="s">
        <v>49</v>
      </c>
      <c r="F6" s="442" t="s">
        <v>108</v>
      </c>
      <c r="G6" s="442" t="s">
        <v>109</v>
      </c>
      <c r="H6" s="442" t="s">
        <v>110</v>
      </c>
      <c r="I6" s="442" t="s">
        <v>111</v>
      </c>
      <c r="J6" s="442" t="s">
        <v>328</v>
      </c>
      <c r="K6" s="442" t="s">
        <v>113</v>
      </c>
      <c r="L6" s="442" t="s">
        <v>114</v>
      </c>
      <c r="M6" s="442" t="s">
        <v>115</v>
      </c>
      <c r="N6" s="442" t="s">
        <v>32</v>
      </c>
      <c r="O6" s="442"/>
      <c r="P6" s="442"/>
      <c r="Q6" s="442" t="s">
        <v>116</v>
      </c>
      <c r="R6" s="442" t="s">
        <v>117</v>
      </c>
      <c r="S6" s="442" t="s">
        <v>385</v>
      </c>
    </row>
    <row r="7" spans="1:19" s="380" customFormat="1" ht="24" customHeight="1">
      <c r="A7" s="442"/>
      <c r="B7" s="443"/>
      <c r="C7" s="443"/>
      <c r="D7" s="442"/>
      <c r="E7" s="442"/>
      <c r="F7" s="442"/>
      <c r="G7" s="442"/>
      <c r="H7" s="442"/>
      <c r="I7" s="442"/>
      <c r="J7" s="442"/>
      <c r="K7" s="442"/>
      <c r="L7" s="442"/>
      <c r="M7" s="442"/>
      <c r="N7" s="442" t="s">
        <v>122</v>
      </c>
      <c r="O7" s="442" t="s">
        <v>123</v>
      </c>
      <c r="P7" s="442" t="s">
        <v>326</v>
      </c>
      <c r="Q7" s="442"/>
      <c r="R7" s="442"/>
      <c r="S7" s="442"/>
    </row>
    <row r="8" spans="1:19" s="380" customFormat="1" ht="24" customHeight="1">
      <c r="A8" s="442"/>
      <c r="B8" s="443"/>
      <c r="C8" s="443"/>
      <c r="D8" s="442"/>
      <c r="E8" s="442"/>
      <c r="F8" s="442"/>
      <c r="G8" s="442"/>
      <c r="H8" s="442"/>
      <c r="I8" s="442"/>
      <c r="J8" s="442"/>
      <c r="K8" s="442"/>
      <c r="L8" s="442"/>
      <c r="M8" s="442"/>
      <c r="N8" s="442"/>
      <c r="O8" s="442"/>
      <c r="P8" s="442"/>
      <c r="Q8" s="442"/>
      <c r="R8" s="442"/>
      <c r="S8" s="442"/>
    </row>
    <row r="9" spans="1:19" s="380" customFormat="1" ht="45.75" customHeight="1">
      <c r="A9" s="442"/>
      <c r="B9" s="443"/>
      <c r="C9" s="443"/>
      <c r="D9" s="442"/>
      <c r="E9" s="442"/>
      <c r="F9" s="442"/>
      <c r="G9" s="442"/>
      <c r="H9" s="442"/>
      <c r="I9" s="442"/>
      <c r="J9" s="442"/>
      <c r="K9" s="442"/>
      <c r="L9" s="442"/>
      <c r="M9" s="442"/>
      <c r="N9" s="442"/>
      <c r="O9" s="442"/>
      <c r="P9" s="442"/>
      <c r="Q9" s="442"/>
      <c r="R9" s="442"/>
      <c r="S9" s="442"/>
    </row>
    <row r="10" spans="1:21" s="382" customFormat="1" ht="14.25" customHeight="1">
      <c r="A10" s="295" t="s">
        <v>10</v>
      </c>
      <c r="B10" s="295" t="s">
        <v>11</v>
      </c>
      <c r="C10" s="295">
        <v>1</v>
      </c>
      <c r="D10" s="381">
        <f>C10+1</f>
        <v>2</v>
      </c>
      <c r="E10" s="381">
        <f aca="true" t="shared" si="0" ref="E10:S10">D10+1</f>
        <v>3</v>
      </c>
      <c r="F10" s="381">
        <f t="shared" si="0"/>
        <v>4</v>
      </c>
      <c r="G10" s="381">
        <f t="shared" si="0"/>
        <v>5</v>
      </c>
      <c r="H10" s="381">
        <f t="shared" si="0"/>
        <v>6</v>
      </c>
      <c r="I10" s="381">
        <f t="shared" si="0"/>
        <v>7</v>
      </c>
      <c r="J10" s="381">
        <f t="shared" si="0"/>
        <v>8</v>
      </c>
      <c r="K10" s="381">
        <f t="shared" si="0"/>
        <v>9</v>
      </c>
      <c r="L10" s="381">
        <f t="shared" si="0"/>
        <v>10</v>
      </c>
      <c r="M10" s="381">
        <f t="shared" si="0"/>
        <v>11</v>
      </c>
      <c r="N10" s="381">
        <f t="shared" si="0"/>
        <v>12</v>
      </c>
      <c r="O10" s="381">
        <f>N10+1</f>
        <v>13</v>
      </c>
      <c r="P10" s="381">
        <f t="shared" si="0"/>
        <v>14</v>
      </c>
      <c r="Q10" s="381">
        <f t="shared" si="0"/>
        <v>15</v>
      </c>
      <c r="R10" s="381">
        <f t="shared" si="0"/>
        <v>16</v>
      </c>
      <c r="S10" s="381">
        <f t="shared" si="0"/>
        <v>17</v>
      </c>
      <c r="T10" s="370">
        <v>627091</v>
      </c>
      <c r="U10" s="370">
        <v>12458</v>
      </c>
    </row>
    <row r="11" spans="1:21" ht="24" customHeight="1">
      <c r="A11" s="101"/>
      <c r="B11" s="102" t="s">
        <v>30</v>
      </c>
      <c r="C11" s="369">
        <f aca="true" t="shared" si="1" ref="C11:P11">C12+C39+C49</f>
        <v>668432</v>
      </c>
      <c r="D11" s="369">
        <f t="shared" si="1"/>
        <v>498815</v>
      </c>
      <c r="E11" s="369">
        <f t="shared" si="1"/>
        <v>415</v>
      </c>
      <c r="F11" s="369">
        <f t="shared" si="1"/>
        <v>3300</v>
      </c>
      <c r="G11" s="369">
        <f t="shared" si="1"/>
        <v>1800</v>
      </c>
      <c r="H11" s="369">
        <f t="shared" si="1"/>
        <v>315</v>
      </c>
      <c r="I11" s="369">
        <f t="shared" si="1"/>
        <v>1831</v>
      </c>
      <c r="J11" s="369">
        <f t="shared" si="1"/>
        <v>2992</v>
      </c>
      <c r="K11" s="369">
        <f t="shared" si="1"/>
        <v>615</v>
      </c>
      <c r="L11" s="369">
        <f t="shared" si="1"/>
        <v>7000</v>
      </c>
      <c r="M11" s="369">
        <f t="shared" si="1"/>
        <v>48183</v>
      </c>
      <c r="N11" s="369">
        <f t="shared" si="1"/>
        <v>22206</v>
      </c>
      <c r="O11" s="369">
        <f t="shared" si="1"/>
        <v>11675</v>
      </c>
      <c r="P11" s="369">
        <f t="shared" si="1"/>
        <v>14302</v>
      </c>
      <c r="Q11" s="369">
        <f>Q12+Q39+Q49</f>
        <v>45424</v>
      </c>
      <c r="R11" s="369">
        <f>R12+R39+R49</f>
        <v>55332</v>
      </c>
      <c r="S11" s="369">
        <f>S12+S39+S49</f>
        <v>2410</v>
      </c>
      <c r="T11" s="369">
        <f>T12+T39+T49</f>
        <v>0</v>
      </c>
      <c r="U11" s="369">
        <f>U12+U39+U49</f>
        <v>0</v>
      </c>
    </row>
    <row r="12" spans="1:20" ht="18.75" customHeight="1">
      <c r="A12" s="101" t="s">
        <v>20</v>
      </c>
      <c r="B12" s="368" t="s">
        <v>378</v>
      </c>
      <c r="C12" s="369">
        <f>SUM(C13:C38)</f>
        <v>668039</v>
      </c>
      <c r="D12" s="369">
        <f>SUM(D13:D38)</f>
        <v>498815</v>
      </c>
      <c r="E12" s="369">
        <f aca="true" t="shared" si="2" ref="E12:Q12">SUM(E13:E38)</f>
        <v>415</v>
      </c>
      <c r="F12" s="369">
        <f t="shared" si="2"/>
        <v>3300</v>
      </c>
      <c r="G12" s="369">
        <f t="shared" si="2"/>
        <v>1800</v>
      </c>
      <c r="H12" s="369">
        <f t="shared" si="2"/>
        <v>315</v>
      </c>
      <c r="I12" s="369">
        <f t="shared" si="2"/>
        <v>1831</v>
      </c>
      <c r="J12" s="369">
        <f t="shared" si="2"/>
        <v>2992</v>
      </c>
      <c r="K12" s="369">
        <f t="shared" si="2"/>
        <v>615</v>
      </c>
      <c r="L12" s="369">
        <f t="shared" si="2"/>
        <v>7000</v>
      </c>
      <c r="M12" s="369">
        <f t="shared" si="2"/>
        <v>48183</v>
      </c>
      <c r="N12" s="369">
        <f t="shared" si="2"/>
        <v>22206</v>
      </c>
      <c r="O12" s="369">
        <f t="shared" si="2"/>
        <v>11675</v>
      </c>
      <c r="P12" s="369">
        <f t="shared" si="2"/>
        <v>14302</v>
      </c>
      <c r="Q12" s="369">
        <f t="shared" si="2"/>
        <v>45031</v>
      </c>
      <c r="R12" s="369">
        <f>SUM(R13:R38)</f>
        <v>55332</v>
      </c>
      <c r="S12" s="369">
        <f>SUM(S13:S38)</f>
        <v>2410</v>
      </c>
      <c r="T12" s="370"/>
    </row>
    <row r="13" spans="1:20" ht="18.75" customHeight="1">
      <c r="A13" s="41">
        <v>1</v>
      </c>
      <c r="B13" s="383" t="s">
        <v>160</v>
      </c>
      <c r="C13" s="369">
        <f>SUM(D13:M13)+SUM(Q13:S13)</f>
        <v>9538</v>
      </c>
      <c r="D13" s="105">
        <v>50</v>
      </c>
      <c r="E13" s="105"/>
      <c r="F13" s="105"/>
      <c r="G13" s="105"/>
      <c r="H13" s="105">
        <v>315</v>
      </c>
      <c r="I13" s="105"/>
      <c r="J13" s="105"/>
      <c r="K13" s="105"/>
      <c r="L13" s="105"/>
      <c r="M13" s="105">
        <f>N13+O13+P13</f>
        <v>0</v>
      </c>
      <c r="N13" s="105"/>
      <c r="O13" s="105"/>
      <c r="P13" s="105"/>
      <c r="Q13" s="105">
        <v>9173</v>
      </c>
      <c r="R13" s="105"/>
      <c r="S13" s="105"/>
      <c r="T13" s="370"/>
    </row>
    <row r="14" spans="1:20" ht="18.75" customHeight="1">
      <c r="A14" s="41">
        <v>2</v>
      </c>
      <c r="B14" s="383" t="s">
        <v>161</v>
      </c>
      <c r="C14" s="369">
        <f>SUM(D14:M14)+SUM(Q14:S14)</f>
        <v>4310</v>
      </c>
      <c r="D14" s="105"/>
      <c r="E14" s="105"/>
      <c r="F14" s="105"/>
      <c r="G14" s="105"/>
      <c r="H14" s="105"/>
      <c r="I14" s="105"/>
      <c r="J14" s="105"/>
      <c r="K14" s="105"/>
      <c r="L14" s="105"/>
      <c r="M14" s="105">
        <f aca="true" t="shared" si="3" ref="M14:M38">N14+O14+P14</f>
        <v>0</v>
      </c>
      <c r="N14" s="105"/>
      <c r="O14" s="105"/>
      <c r="P14" s="105"/>
      <c r="Q14" s="105">
        <v>4310</v>
      </c>
      <c r="R14" s="105"/>
      <c r="S14" s="105"/>
      <c r="T14" s="370"/>
    </row>
    <row r="15" spans="1:20" ht="18.75" customHeight="1">
      <c r="A15" s="41">
        <v>3</v>
      </c>
      <c r="B15" s="383" t="s">
        <v>159</v>
      </c>
      <c r="C15" s="369">
        <f aca="true" t="shared" si="4" ref="C15:C37">SUM(D15:M15)+SUM(Q15:S15)</f>
        <v>8418</v>
      </c>
      <c r="D15" s="105">
        <v>30</v>
      </c>
      <c r="E15" s="105"/>
      <c r="F15" s="105"/>
      <c r="G15" s="105"/>
      <c r="H15" s="105"/>
      <c r="I15" s="105"/>
      <c r="J15" s="105"/>
      <c r="K15" s="105"/>
      <c r="L15" s="105"/>
      <c r="M15" s="105">
        <f t="shared" si="3"/>
        <v>0</v>
      </c>
      <c r="N15" s="105"/>
      <c r="O15" s="105"/>
      <c r="P15" s="105"/>
      <c r="Q15" s="105">
        <v>8388</v>
      </c>
      <c r="R15" s="105"/>
      <c r="S15" s="105"/>
      <c r="T15" s="370"/>
    </row>
    <row r="16" spans="1:20" ht="18.75" customHeight="1">
      <c r="A16" s="41">
        <v>4</v>
      </c>
      <c r="B16" s="383" t="s">
        <v>329</v>
      </c>
      <c r="C16" s="369">
        <f t="shared" si="4"/>
        <v>3952</v>
      </c>
      <c r="D16" s="105"/>
      <c r="E16" s="105"/>
      <c r="F16" s="105"/>
      <c r="G16" s="105"/>
      <c r="H16" s="105"/>
      <c r="I16" s="105"/>
      <c r="J16" s="105"/>
      <c r="K16" s="105"/>
      <c r="L16" s="105"/>
      <c r="M16" s="105">
        <f t="shared" si="3"/>
        <v>3085</v>
      </c>
      <c r="N16" s="105"/>
      <c r="O16" s="485">
        <f>2535+550</f>
        <v>3085</v>
      </c>
      <c r="P16" s="105"/>
      <c r="Q16" s="105">
        <v>867</v>
      </c>
      <c r="R16" s="105"/>
      <c r="S16" s="105"/>
      <c r="T16" s="370"/>
    </row>
    <row r="17" spans="1:20" ht="18.75" customHeight="1">
      <c r="A17" s="41">
        <v>5</v>
      </c>
      <c r="B17" s="383" t="s">
        <v>330</v>
      </c>
      <c r="C17" s="369">
        <f t="shared" si="4"/>
        <v>1529</v>
      </c>
      <c r="D17" s="105"/>
      <c r="E17" s="105"/>
      <c r="F17" s="105"/>
      <c r="G17" s="105"/>
      <c r="H17" s="105"/>
      <c r="I17" s="105"/>
      <c r="J17" s="105"/>
      <c r="K17" s="105"/>
      <c r="L17" s="105"/>
      <c r="M17" s="105">
        <f t="shared" si="3"/>
        <v>0</v>
      </c>
      <c r="N17" s="105"/>
      <c r="O17" s="105"/>
      <c r="P17" s="105"/>
      <c r="Q17" s="105">
        <v>1529</v>
      </c>
      <c r="R17" s="105"/>
      <c r="S17" s="105"/>
      <c r="T17" s="370"/>
    </row>
    <row r="18" spans="1:20" ht="18.75" customHeight="1">
      <c r="A18" s="41">
        <v>6</v>
      </c>
      <c r="B18" s="383" t="s">
        <v>331</v>
      </c>
      <c r="C18" s="369">
        <f t="shared" si="4"/>
        <v>9880</v>
      </c>
      <c r="D18" s="105"/>
      <c r="E18" s="105"/>
      <c r="F18" s="105"/>
      <c r="G18" s="105"/>
      <c r="H18" s="105"/>
      <c r="I18" s="105"/>
      <c r="J18" s="105"/>
      <c r="K18" s="105"/>
      <c r="L18" s="105">
        <v>7000</v>
      </c>
      <c r="M18" s="105">
        <f t="shared" si="3"/>
        <v>1750</v>
      </c>
      <c r="N18" s="105"/>
      <c r="O18" s="105"/>
      <c r="P18" s="105">
        <v>1750</v>
      </c>
      <c r="Q18" s="105">
        <v>1130</v>
      </c>
      <c r="R18" s="105"/>
      <c r="S18" s="105"/>
      <c r="T18" s="370"/>
    </row>
    <row r="19" spans="1:20" ht="18.75" customHeight="1">
      <c r="A19" s="41">
        <v>7</v>
      </c>
      <c r="B19" s="383" t="s">
        <v>165</v>
      </c>
      <c r="C19" s="369">
        <f t="shared" si="4"/>
        <v>922</v>
      </c>
      <c r="D19" s="105">
        <v>9</v>
      </c>
      <c r="E19" s="105"/>
      <c r="F19" s="105"/>
      <c r="G19" s="105"/>
      <c r="H19" s="105"/>
      <c r="I19" s="105"/>
      <c r="J19" s="105"/>
      <c r="K19" s="105"/>
      <c r="L19" s="105"/>
      <c r="M19" s="105">
        <f t="shared" si="3"/>
        <v>0</v>
      </c>
      <c r="N19" s="105"/>
      <c r="O19" s="105"/>
      <c r="P19" s="105"/>
      <c r="Q19" s="105">
        <v>913</v>
      </c>
      <c r="R19" s="105"/>
      <c r="S19" s="105"/>
      <c r="T19" s="370"/>
    </row>
    <row r="20" spans="1:20" ht="18.75" customHeight="1">
      <c r="A20" s="41">
        <v>8</v>
      </c>
      <c r="B20" s="383" t="s">
        <v>166</v>
      </c>
      <c r="C20" s="369">
        <f t="shared" si="4"/>
        <v>1683</v>
      </c>
      <c r="D20" s="105"/>
      <c r="E20" s="105"/>
      <c r="F20" s="105"/>
      <c r="G20" s="105"/>
      <c r="H20" s="105"/>
      <c r="I20" s="105"/>
      <c r="J20" s="105"/>
      <c r="K20" s="105"/>
      <c r="L20" s="105"/>
      <c r="M20" s="105">
        <f t="shared" si="3"/>
        <v>0</v>
      </c>
      <c r="N20" s="105"/>
      <c r="O20" s="105"/>
      <c r="P20" s="105"/>
      <c r="Q20" s="105">
        <v>1683</v>
      </c>
      <c r="R20" s="105"/>
      <c r="S20" s="105"/>
      <c r="T20" s="370"/>
    </row>
    <row r="21" spans="1:20" ht="18.75" customHeight="1">
      <c r="A21" s="41">
        <v>9</v>
      </c>
      <c r="B21" s="383" t="s">
        <v>167</v>
      </c>
      <c r="C21" s="369">
        <f t="shared" si="4"/>
        <v>8965</v>
      </c>
      <c r="D21" s="105"/>
      <c r="E21" s="105">
        <v>415</v>
      </c>
      <c r="F21" s="105"/>
      <c r="G21" s="105"/>
      <c r="H21" s="105"/>
      <c r="I21" s="105"/>
      <c r="J21" s="105"/>
      <c r="K21" s="105"/>
      <c r="L21" s="105"/>
      <c r="M21" s="105">
        <f t="shared" si="3"/>
        <v>7620</v>
      </c>
      <c r="N21" s="105">
        <v>7000</v>
      </c>
      <c r="O21" s="105"/>
      <c r="P21" s="105">
        <v>620</v>
      </c>
      <c r="Q21" s="105">
        <v>930</v>
      </c>
      <c r="R21" s="105"/>
      <c r="S21" s="105"/>
      <c r="T21" s="370"/>
    </row>
    <row r="22" spans="1:20" ht="18.75" customHeight="1">
      <c r="A22" s="41">
        <v>10</v>
      </c>
      <c r="B22" s="383" t="s">
        <v>168</v>
      </c>
      <c r="C22" s="369">
        <f t="shared" si="4"/>
        <v>366</v>
      </c>
      <c r="D22" s="105"/>
      <c r="E22" s="105"/>
      <c r="F22" s="105"/>
      <c r="G22" s="105"/>
      <c r="H22" s="105"/>
      <c r="I22" s="105"/>
      <c r="J22" s="105"/>
      <c r="K22" s="105"/>
      <c r="L22" s="105"/>
      <c r="M22" s="105">
        <f t="shared" si="3"/>
        <v>0</v>
      </c>
      <c r="N22" s="105"/>
      <c r="O22" s="105"/>
      <c r="P22" s="105"/>
      <c r="Q22" s="105">
        <v>366</v>
      </c>
      <c r="R22" s="105"/>
      <c r="S22" s="105"/>
      <c r="T22" s="370"/>
    </row>
    <row r="23" spans="1:20" ht="18.75" customHeight="1">
      <c r="A23" s="41">
        <v>11</v>
      </c>
      <c r="B23" s="383" t="s">
        <v>169</v>
      </c>
      <c r="C23" s="369">
        <f t="shared" si="4"/>
        <v>2020</v>
      </c>
      <c r="D23" s="105">
        <v>19</v>
      </c>
      <c r="E23" s="105"/>
      <c r="F23" s="105"/>
      <c r="G23" s="105"/>
      <c r="H23" s="105"/>
      <c r="I23" s="105"/>
      <c r="J23" s="105"/>
      <c r="K23" s="105"/>
      <c r="L23" s="105"/>
      <c r="M23" s="105">
        <f t="shared" si="3"/>
        <v>0</v>
      </c>
      <c r="N23" s="105"/>
      <c r="O23" s="105"/>
      <c r="P23" s="105"/>
      <c r="Q23" s="105">
        <v>2001</v>
      </c>
      <c r="R23" s="105"/>
      <c r="S23" s="105"/>
      <c r="T23" s="370"/>
    </row>
    <row r="24" spans="1:20" ht="18.75" customHeight="1">
      <c r="A24" s="41">
        <v>12</v>
      </c>
      <c r="B24" s="383" t="s">
        <v>332</v>
      </c>
      <c r="C24" s="369">
        <f t="shared" si="4"/>
        <v>56304</v>
      </c>
      <c r="D24" s="105"/>
      <c r="E24" s="105"/>
      <c r="F24" s="105"/>
      <c r="G24" s="105"/>
      <c r="H24" s="105"/>
      <c r="I24" s="105"/>
      <c r="J24" s="105"/>
      <c r="K24" s="105"/>
      <c r="L24" s="105"/>
      <c r="M24" s="105">
        <f t="shared" si="3"/>
        <v>0</v>
      </c>
      <c r="N24" s="105"/>
      <c r="O24" s="105"/>
      <c r="P24" s="105"/>
      <c r="Q24" s="105">
        <v>1099</v>
      </c>
      <c r="R24" s="105">
        <v>55205</v>
      </c>
      <c r="S24" s="105"/>
      <c r="T24" s="370"/>
    </row>
    <row r="25" spans="1:20" ht="18.75" customHeight="1">
      <c r="A25" s="41">
        <v>13</v>
      </c>
      <c r="B25" s="383" t="s">
        <v>171</v>
      </c>
      <c r="C25" s="369">
        <f t="shared" si="4"/>
        <v>973</v>
      </c>
      <c r="D25" s="105"/>
      <c r="E25" s="105"/>
      <c r="F25" s="105"/>
      <c r="G25" s="105"/>
      <c r="H25" s="105"/>
      <c r="I25" s="105"/>
      <c r="J25" s="105"/>
      <c r="K25" s="105"/>
      <c r="L25" s="105"/>
      <c r="M25" s="105">
        <f t="shared" si="3"/>
        <v>0</v>
      </c>
      <c r="N25" s="105"/>
      <c r="O25" s="105"/>
      <c r="P25" s="105"/>
      <c r="Q25" s="105">
        <v>846</v>
      </c>
      <c r="R25" s="105">
        <v>127</v>
      </c>
      <c r="S25" s="105"/>
      <c r="T25" s="370"/>
    </row>
    <row r="26" spans="1:20" ht="18.75" customHeight="1">
      <c r="A26" s="41">
        <v>14</v>
      </c>
      <c r="B26" s="383" t="s">
        <v>333</v>
      </c>
      <c r="C26" s="369">
        <f t="shared" si="4"/>
        <v>924</v>
      </c>
      <c r="D26" s="105"/>
      <c r="E26" s="105"/>
      <c r="F26" s="105"/>
      <c r="G26" s="105"/>
      <c r="H26" s="105"/>
      <c r="I26" s="105"/>
      <c r="J26" s="105"/>
      <c r="K26" s="105"/>
      <c r="L26" s="105"/>
      <c r="M26" s="105">
        <f t="shared" si="3"/>
        <v>0</v>
      </c>
      <c r="N26" s="105"/>
      <c r="O26" s="105"/>
      <c r="P26" s="105"/>
      <c r="Q26" s="105">
        <v>924</v>
      </c>
      <c r="R26" s="105"/>
      <c r="S26" s="105"/>
      <c r="T26" s="370"/>
    </row>
    <row r="27" spans="1:20" ht="18.75" customHeight="1">
      <c r="A27" s="41">
        <v>15</v>
      </c>
      <c r="B27" s="383" t="s">
        <v>334</v>
      </c>
      <c r="C27" s="369">
        <f t="shared" si="4"/>
        <v>494934</v>
      </c>
      <c r="D27" s="105">
        <v>493472</v>
      </c>
      <c r="E27" s="105"/>
      <c r="F27" s="105"/>
      <c r="G27" s="105"/>
      <c r="H27" s="105"/>
      <c r="I27" s="105"/>
      <c r="J27" s="105"/>
      <c r="K27" s="105"/>
      <c r="L27" s="105"/>
      <c r="M27" s="105">
        <f t="shared" si="3"/>
        <v>0</v>
      </c>
      <c r="N27" s="105"/>
      <c r="O27" s="105"/>
      <c r="P27" s="105"/>
      <c r="Q27" s="105">
        <v>1462</v>
      </c>
      <c r="R27" s="105"/>
      <c r="S27" s="105"/>
      <c r="T27" s="370"/>
    </row>
    <row r="28" spans="1:20" ht="18.75" customHeight="1">
      <c r="A28" s="41">
        <v>16</v>
      </c>
      <c r="B28" s="383" t="s">
        <v>325</v>
      </c>
      <c r="C28" s="369">
        <f t="shared" si="4"/>
        <v>1189</v>
      </c>
      <c r="D28" s="105">
        <v>1189</v>
      </c>
      <c r="E28" s="105"/>
      <c r="F28" s="105"/>
      <c r="G28" s="105"/>
      <c r="H28" s="105"/>
      <c r="I28" s="105"/>
      <c r="J28" s="105"/>
      <c r="K28" s="105"/>
      <c r="L28" s="105"/>
      <c r="M28" s="105">
        <f t="shared" si="3"/>
        <v>0</v>
      </c>
      <c r="N28" s="105"/>
      <c r="O28" s="105"/>
      <c r="P28" s="105"/>
      <c r="Q28" s="105"/>
      <c r="R28" s="105"/>
      <c r="S28" s="105"/>
      <c r="T28" s="370"/>
    </row>
    <row r="29" spans="1:20" ht="18.75" customHeight="1">
      <c r="A29" s="41">
        <v>17</v>
      </c>
      <c r="B29" s="383" t="s">
        <v>217</v>
      </c>
      <c r="C29" s="369">
        <f t="shared" si="4"/>
        <v>2964</v>
      </c>
      <c r="D29" s="105">
        <v>2964</v>
      </c>
      <c r="E29" s="105"/>
      <c r="F29" s="105"/>
      <c r="G29" s="105"/>
      <c r="H29" s="105"/>
      <c r="I29" s="105"/>
      <c r="J29" s="105"/>
      <c r="K29" s="105"/>
      <c r="L29" s="105"/>
      <c r="M29" s="105">
        <f t="shared" si="3"/>
        <v>0</v>
      </c>
      <c r="N29" s="105"/>
      <c r="O29" s="105"/>
      <c r="P29" s="105"/>
      <c r="Q29" s="105"/>
      <c r="R29" s="105"/>
      <c r="S29" s="105"/>
      <c r="T29" s="370"/>
    </row>
    <row r="30" spans="1:20" ht="18.75" customHeight="1">
      <c r="A30" s="41">
        <v>18</v>
      </c>
      <c r="B30" s="383" t="s">
        <v>173</v>
      </c>
      <c r="C30" s="369">
        <f t="shared" si="4"/>
        <v>161</v>
      </c>
      <c r="D30" s="105"/>
      <c r="E30" s="105"/>
      <c r="F30" s="105"/>
      <c r="G30" s="105"/>
      <c r="H30" s="105"/>
      <c r="I30" s="105"/>
      <c r="J30" s="105"/>
      <c r="K30" s="105"/>
      <c r="L30" s="105"/>
      <c r="M30" s="105">
        <v>161</v>
      </c>
      <c r="N30" s="105"/>
      <c r="O30" s="105"/>
      <c r="P30" s="105">
        <v>161</v>
      </c>
      <c r="Q30" s="105"/>
      <c r="R30" s="105"/>
      <c r="S30" s="105"/>
      <c r="T30" s="370"/>
    </row>
    <row r="31" spans="1:20" ht="18.75" customHeight="1">
      <c r="A31" s="41">
        <v>19</v>
      </c>
      <c r="B31" s="383" t="s">
        <v>222</v>
      </c>
      <c r="C31" s="369">
        <f t="shared" si="4"/>
        <v>6792</v>
      </c>
      <c r="D31" s="105"/>
      <c r="E31" s="105"/>
      <c r="F31" s="105"/>
      <c r="G31" s="105"/>
      <c r="H31" s="105"/>
      <c r="I31" s="105"/>
      <c r="J31" s="105"/>
      <c r="K31" s="105"/>
      <c r="L31" s="105"/>
      <c r="M31" s="105">
        <f t="shared" si="3"/>
        <v>6792</v>
      </c>
      <c r="N31" s="105"/>
      <c r="O31" s="105">
        <v>3500</v>
      </c>
      <c r="P31" s="105">
        <v>3292</v>
      </c>
      <c r="Q31" s="105"/>
      <c r="R31" s="105"/>
      <c r="S31" s="105"/>
      <c r="T31" s="370"/>
    </row>
    <row r="32" spans="1:20" ht="18.75" customHeight="1">
      <c r="A32" s="41">
        <v>20</v>
      </c>
      <c r="B32" s="383" t="s">
        <v>223</v>
      </c>
      <c r="C32" s="369">
        <f t="shared" si="4"/>
        <v>919</v>
      </c>
      <c r="D32" s="105"/>
      <c r="E32" s="105"/>
      <c r="F32" s="105"/>
      <c r="G32" s="105"/>
      <c r="H32" s="105"/>
      <c r="I32" s="105"/>
      <c r="J32" s="105"/>
      <c r="K32" s="105"/>
      <c r="L32" s="105"/>
      <c r="M32" s="105">
        <f t="shared" si="3"/>
        <v>919</v>
      </c>
      <c r="N32" s="105"/>
      <c r="O32" s="105"/>
      <c r="P32" s="105">
        <v>919</v>
      </c>
      <c r="Q32" s="105"/>
      <c r="R32" s="105"/>
      <c r="S32" s="105"/>
      <c r="T32" s="370"/>
    </row>
    <row r="33" spans="1:20" ht="18.75" customHeight="1">
      <c r="A33" s="41">
        <v>21</v>
      </c>
      <c r="B33" s="383" t="s">
        <v>335</v>
      </c>
      <c r="C33" s="369">
        <f t="shared" si="4"/>
        <v>5438</v>
      </c>
      <c r="D33" s="105"/>
      <c r="E33" s="105"/>
      <c r="F33" s="105"/>
      <c r="G33" s="105"/>
      <c r="H33" s="105"/>
      <c r="I33" s="105">
        <v>1831</v>
      </c>
      <c r="J33" s="105">
        <v>2992</v>
      </c>
      <c r="K33" s="105">
        <v>615</v>
      </c>
      <c r="L33" s="105"/>
      <c r="M33" s="105">
        <f t="shared" si="3"/>
        <v>0</v>
      </c>
      <c r="N33" s="105"/>
      <c r="O33" s="105"/>
      <c r="P33" s="105"/>
      <c r="Q33" s="105"/>
      <c r="R33" s="105"/>
      <c r="S33" s="105"/>
      <c r="T33" s="370"/>
    </row>
    <row r="34" spans="1:20" ht="18.75" customHeight="1">
      <c r="A34" s="41">
        <v>22</v>
      </c>
      <c r="B34" s="383" t="s">
        <v>174</v>
      </c>
      <c r="C34" s="369">
        <f t="shared" si="4"/>
        <v>1800</v>
      </c>
      <c r="D34" s="105"/>
      <c r="E34" s="105"/>
      <c r="F34" s="105"/>
      <c r="G34" s="105">
        <v>1800</v>
      </c>
      <c r="H34" s="105"/>
      <c r="I34" s="105"/>
      <c r="J34" s="105"/>
      <c r="K34" s="105"/>
      <c r="L34" s="105"/>
      <c r="M34" s="105">
        <f t="shared" si="3"/>
        <v>0</v>
      </c>
      <c r="N34" s="105"/>
      <c r="O34" s="105"/>
      <c r="P34" s="105"/>
      <c r="Q34" s="105"/>
      <c r="R34" s="105"/>
      <c r="S34" s="105"/>
      <c r="T34" s="370"/>
    </row>
    <row r="35" spans="1:20" ht="18.75" customHeight="1">
      <c r="A35" s="41">
        <v>23</v>
      </c>
      <c r="B35" s="383" t="s">
        <v>336</v>
      </c>
      <c r="C35" s="369">
        <f t="shared" si="4"/>
        <v>3300</v>
      </c>
      <c r="D35" s="105"/>
      <c r="E35" s="105"/>
      <c r="F35" s="105">
        <v>3300</v>
      </c>
      <c r="G35" s="105"/>
      <c r="H35" s="105"/>
      <c r="I35" s="105"/>
      <c r="J35" s="105"/>
      <c r="K35" s="105"/>
      <c r="L35" s="105"/>
      <c r="M35" s="105">
        <f t="shared" si="3"/>
        <v>0</v>
      </c>
      <c r="N35" s="105"/>
      <c r="O35" s="105"/>
      <c r="P35" s="105"/>
      <c r="Q35" s="105"/>
      <c r="R35" s="105"/>
      <c r="S35" s="105"/>
      <c r="T35" s="370"/>
    </row>
    <row r="36" spans="1:20" ht="18.75" customHeight="1">
      <c r="A36" s="41">
        <v>24</v>
      </c>
      <c r="B36" s="383" t="s">
        <v>337</v>
      </c>
      <c r="C36" s="369">
        <f t="shared" si="4"/>
        <v>17740</v>
      </c>
      <c r="D36" s="105"/>
      <c r="E36" s="105"/>
      <c r="F36" s="105"/>
      <c r="G36" s="105"/>
      <c r="H36" s="105"/>
      <c r="I36" s="105"/>
      <c r="J36" s="105"/>
      <c r="K36" s="105"/>
      <c r="L36" s="105"/>
      <c r="M36" s="105">
        <f t="shared" si="3"/>
        <v>17740</v>
      </c>
      <c r="N36" s="105">
        <v>15206</v>
      </c>
      <c r="O36" s="105">
        <v>2534</v>
      </c>
      <c r="P36" s="105"/>
      <c r="Q36" s="105"/>
      <c r="R36" s="105"/>
      <c r="S36" s="105"/>
      <c r="T36" s="370"/>
    </row>
    <row r="37" spans="1:20" ht="18.75" customHeight="1">
      <c r="A37" s="41">
        <v>25</v>
      </c>
      <c r="B37" s="383" t="s">
        <v>177</v>
      </c>
      <c r="C37" s="369">
        <f t="shared" si="4"/>
        <v>23018</v>
      </c>
      <c r="D37" s="485">
        <v>1082</v>
      </c>
      <c r="E37" s="105"/>
      <c r="F37" s="105"/>
      <c r="G37" s="105"/>
      <c r="H37" s="105"/>
      <c r="I37" s="105"/>
      <c r="J37" s="105"/>
      <c r="K37" s="105"/>
      <c r="L37" s="105"/>
      <c r="M37" s="105">
        <f>N37+O37+P37</f>
        <v>10116</v>
      </c>
      <c r="N37" s="105"/>
      <c r="O37" s="485">
        <v>2556</v>
      </c>
      <c r="P37" s="485">
        <f>1000+6560</f>
        <v>7560</v>
      </c>
      <c r="Q37" s="485">
        <f>6000+3410</f>
        <v>9410</v>
      </c>
      <c r="R37" s="105"/>
      <c r="S37" s="485">
        <v>2410</v>
      </c>
      <c r="T37" s="370"/>
    </row>
    <row r="38" spans="1:20" s="487" customFormat="1" ht="18.75" customHeight="1" hidden="1">
      <c r="A38" s="482">
        <v>26</v>
      </c>
      <c r="B38" s="483" t="s">
        <v>374</v>
      </c>
      <c r="C38" s="484">
        <f>SUM(D38:M38)+SUM(Q38:S38)</f>
        <v>0</v>
      </c>
      <c r="D38" s="485"/>
      <c r="E38" s="485"/>
      <c r="F38" s="485"/>
      <c r="G38" s="485"/>
      <c r="H38" s="485"/>
      <c r="I38" s="485"/>
      <c r="J38" s="485"/>
      <c r="K38" s="485"/>
      <c r="L38" s="485"/>
      <c r="M38" s="485">
        <f t="shared" si="3"/>
        <v>0</v>
      </c>
      <c r="N38" s="485"/>
      <c r="O38" s="485"/>
      <c r="P38" s="485"/>
      <c r="Q38" s="485"/>
      <c r="R38" s="485"/>
      <c r="S38" s="485"/>
      <c r="T38" s="486"/>
    </row>
    <row r="39" spans="1:19" s="372" customFormat="1" ht="21" customHeight="1">
      <c r="A39" s="101" t="s">
        <v>21</v>
      </c>
      <c r="B39" s="368" t="s">
        <v>379</v>
      </c>
      <c r="C39" s="369">
        <f aca="true" t="shared" si="5" ref="C39:S39">SUM(C40:C48)</f>
        <v>393</v>
      </c>
      <c r="D39" s="369">
        <f t="shared" si="5"/>
        <v>0</v>
      </c>
      <c r="E39" s="369">
        <f t="shared" si="5"/>
        <v>0</v>
      </c>
      <c r="F39" s="369">
        <f t="shared" si="5"/>
        <v>0</v>
      </c>
      <c r="G39" s="369">
        <f t="shared" si="5"/>
        <v>0</v>
      </c>
      <c r="H39" s="369">
        <f t="shared" si="5"/>
        <v>0</v>
      </c>
      <c r="I39" s="369">
        <f t="shared" si="5"/>
        <v>0</v>
      </c>
      <c r="J39" s="369">
        <f t="shared" si="5"/>
        <v>0</v>
      </c>
      <c r="K39" s="369">
        <f t="shared" si="5"/>
        <v>0</v>
      </c>
      <c r="L39" s="369">
        <f t="shared" si="5"/>
        <v>0</v>
      </c>
      <c r="M39" s="369">
        <f t="shared" si="5"/>
        <v>0</v>
      </c>
      <c r="N39" s="369">
        <f t="shared" si="5"/>
        <v>0</v>
      </c>
      <c r="O39" s="369">
        <f t="shared" si="5"/>
        <v>0</v>
      </c>
      <c r="P39" s="369">
        <f t="shared" si="5"/>
        <v>0</v>
      </c>
      <c r="Q39" s="369">
        <f>SUM(Q40:Q48)</f>
        <v>393</v>
      </c>
      <c r="R39" s="369">
        <f t="shared" si="5"/>
        <v>0</v>
      </c>
      <c r="S39" s="369">
        <f t="shared" si="5"/>
        <v>0</v>
      </c>
    </row>
    <row r="40" spans="1:20" ht="18.75" customHeight="1">
      <c r="A40" s="41">
        <v>1</v>
      </c>
      <c r="B40" s="383" t="s">
        <v>382</v>
      </c>
      <c r="C40" s="369">
        <f>SUM(D40:M40)+SUM(Q40:S40)</f>
        <v>64</v>
      </c>
      <c r="D40" s="105"/>
      <c r="E40" s="105"/>
      <c r="F40" s="105"/>
      <c r="G40" s="105"/>
      <c r="H40" s="105"/>
      <c r="I40" s="105"/>
      <c r="J40" s="105"/>
      <c r="K40" s="105"/>
      <c r="L40" s="105"/>
      <c r="M40" s="105">
        <f>N40+O40+P40</f>
        <v>0</v>
      </c>
      <c r="N40" s="105"/>
      <c r="O40" s="105"/>
      <c r="P40" s="105"/>
      <c r="Q40" s="105">
        <v>64</v>
      </c>
      <c r="R40" s="105"/>
      <c r="S40" s="105"/>
      <c r="T40" s="370"/>
    </row>
    <row r="41" spans="1:20" ht="18.75" customHeight="1">
      <c r="A41" s="41">
        <v>2</v>
      </c>
      <c r="B41" s="383" t="s">
        <v>380</v>
      </c>
      <c r="C41" s="369">
        <f>SUM(D41:M41)+SUM(Q41:S41)</f>
        <v>249</v>
      </c>
      <c r="D41" s="105"/>
      <c r="E41" s="105"/>
      <c r="F41" s="105"/>
      <c r="G41" s="105"/>
      <c r="H41" s="105"/>
      <c r="I41" s="105"/>
      <c r="J41" s="105"/>
      <c r="K41" s="105"/>
      <c r="L41" s="105"/>
      <c r="M41" s="105">
        <f>N41+O41+P41</f>
        <v>0</v>
      </c>
      <c r="N41" s="105"/>
      <c r="O41" s="105"/>
      <c r="P41" s="105"/>
      <c r="Q41" s="105">
        <v>249</v>
      </c>
      <c r="R41" s="105"/>
      <c r="S41" s="105"/>
      <c r="T41" s="370"/>
    </row>
    <row r="42" spans="1:20" ht="18.75" customHeight="1">
      <c r="A42" s="41">
        <v>3</v>
      </c>
      <c r="B42" s="383" t="s">
        <v>381</v>
      </c>
      <c r="C42" s="369">
        <f>SUM(D42:M42)+SUM(Q42:S42)</f>
        <v>40</v>
      </c>
      <c r="D42" s="105"/>
      <c r="E42" s="105"/>
      <c r="F42" s="105"/>
      <c r="G42" s="105"/>
      <c r="H42" s="105"/>
      <c r="I42" s="105"/>
      <c r="J42" s="105"/>
      <c r="K42" s="105"/>
      <c r="L42" s="105"/>
      <c r="M42" s="105">
        <f>N42+O42+P42</f>
        <v>0</v>
      </c>
      <c r="N42" s="105"/>
      <c r="O42" s="105"/>
      <c r="P42" s="105"/>
      <c r="Q42" s="105">
        <v>40</v>
      </c>
      <c r="R42" s="105"/>
      <c r="S42" s="105"/>
      <c r="T42" s="370"/>
    </row>
    <row r="43" spans="1:20" ht="18.75" customHeight="1">
      <c r="A43" s="41">
        <v>4</v>
      </c>
      <c r="B43" s="383" t="s">
        <v>383</v>
      </c>
      <c r="C43" s="369">
        <f>SUM(D43:M43)+SUM(Q43:S43)</f>
        <v>20</v>
      </c>
      <c r="D43" s="105"/>
      <c r="E43" s="105"/>
      <c r="F43" s="105"/>
      <c r="G43" s="105"/>
      <c r="H43" s="105"/>
      <c r="I43" s="105"/>
      <c r="J43" s="105"/>
      <c r="K43" s="105"/>
      <c r="L43" s="105"/>
      <c r="M43" s="105">
        <f>N43+O43+P43</f>
        <v>0</v>
      </c>
      <c r="N43" s="105"/>
      <c r="O43" s="105"/>
      <c r="P43" s="105"/>
      <c r="Q43" s="105">
        <v>20</v>
      </c>
      <c r="R43" s="105"/>
      <c r="S43" s="105"/>
      <c r="T43" s="370"/>
    </row>
    <row r="44" spans="1:20" ht="18.75" customHeight="1">
      <c r="A44" s="41">
        <v>5</v>
      </c>
      <c r="B44" s="383" t="s">
        <v>384</v>
      </c>
      <c r="C44" s="369">
        <f>SUM(D44:M44)+SUM(Q44:S44)</f>
        <v>20</v>
      </c>
      <c r="D44" s="105"/>
      <c r="E44" s="105"/>
      <c r="F44" s="105"/>
      <c r="G44" s="105"/>
      <c r="H44" s="105"/>
      <c r="I44" s="105"/>
      <c r="J44" s="105"/>
      <c r="K44" s="105"/>
      <c r="L44" s="105"/>
      <c r="M44" s="105"/>
      <c r="N44" s="105"/>
      <c r="O44" s="105"/>
      <c r="P44" s="105"/>
      <c r="Q44" s="105">
        <v>20</v>
      </c>
      <c r="R44" s="105"/>
      <c r="S44" s="105"/>
      <c r="T44" s="370"/>
    </row>
    <row r="45" spans="1:20" ht="18.75" customHeight="1" hidden="1">
      <c r="A45" s="41"/>
      <c r="B45" s="383"/>
      <c r="C45" s="369"/>
      <c r="D45" s="105"/>
      <c r="E45" s="105"/>
      <c r="F45" s="105"/>
      <c r="G45" s="105"/>
      <c r="H45" s="105"/>
      <c r="I45" s="105"/>
      <c r="J45" s="105"/>
      <c r="K45" s="105"/>
      <c r="L45" s="105"/>
      <c r="M45" s="105"/>
      <c r="N45" s="105"/>
      <c r="O45" s="105"/>
      <c r="P45" s="105"/>
      <c r="Q45" s="105"/>
      <c r="R45" s="105"/>
      <c r="S45" s="105"/>
      <c r="T45" s="370"/>
    </row>
    <row r="46" spans="1:20" ht="18.75" customHeight="1" hidden="1">
      <c r="A46" s="41"/>
      <c r="B46" s="383"/>
      <c r="C46" s="369"/>
      <c r="D46" s="105"/>
      <c r="E46" s="105"/>
      <c r="F46" s="105"/>
      <c r="G46" s="105"/>
      <c r="H46" s="105"/>
      <c r="I46" s="105"/>
      <c r="J46" s="105"/>
      <c r="K46" s="105"/>
      <c r="L46" s="105"/>
      <c r="M46" s="105"/>
      <c r="N46" s="105"/>
      <c r="O46" s="105"/>
      <c r="P46" s="105"/>
      <c r="Q46" s="105"/>
      <c r="R46" s="105"/>
      <c r="S46" s="105"/>
      <c r="T46" s="370"/>
    </row>
    <row r="47" spans="1:20" ht="18.75" customHeight="1" hidden="1">
      <c r="A47" s="41"/>
      <c r="B47" s="383"/>
      <c r="C47" s="369"/>
      <c r="D47" s="105"/>
      <c r="E47" s="105"/>
      <c r="F47" s="105"/>
      <c r="G47" s="105"/>
      <c r="H47" s="105"/>
      <c r="I47" s="105"/>
      <c r="J47" s="105"/>
      <c r="K47" s="105"/>
      <c r="L47" s="105"/>
      <c r="M47" s="105"/>
      <c r="N47" s="105"/>
      <c r="O47" s="105"/>
      <c r="P47" s="105"/>
      <c r="Q47" s="105"/>
      <c r="R47" s="105"/>
      <c r="S47" s="105"/>
      <c r="T47" s="370"/>
    </row>
    <row r="48" spans="1:20" ht="18.75" customHeight="1" hidden="1">
      <c r="A48" s="41"/>
      <c r="B48" s="383"/>
      <c r="C48" s="369"/>
      <c r="D48" s="105"/>
      <c r="E48" s="105"/>
      <c r="F48" s="105"/>
      <c r="G48" s="105"/>
      <c r="H48" s="105"/>
      <c r="I48" s="105"/>
      <c r="J48" s="105"/>
      <c r="K48" s="105"/>
      <c r="L48" s="105"/>
      <c r="M48" s="105"/>
      <c r="N48" s="105"/>
      <c r="O48" s="105"/>
      <c r="P48" s="105"/>
      <c r="Q48" s="105"/>
      <c r="R48" s="105"/>
      <c r="S48" s="105"/>
      <c r="T48" s="370"/>
    </row>
    <row r="49" spans="1:19" s="372" customFormat="1" ht="21" customHeight="1" hidden="1">
      <c r="A49" s="101"/>
      <c r="B49" s="102"/>
      <c r="C49" s="369"/>
      <c r="D49" s="369"/>
      <c r="E49" s="369"/>
      <c r="F49" s="369"/>
      <c r="G49" s="369"/>
      <c r="H49" s="369"/>
      <c r="I49" s="369"/>
      <c r="J49" s="369"/>
      <c r="K49" s="369"/>
      <c r="L49" s="369"/>
      <c r="M49" s="369"/>
      <c r="N49" s="369"/>
      <c r="O49" s="369"/>
      <c r="P49" s="369"/>
      <c r="Q49" s="369"/>
      <c r="R49" s="369"/>
      <c r="S49" s="369"/>
    </row>
    <row r="50" spans="1:19" ht="21" customHeight="1" hidden="1" thickBot="1">
      <c r="A50" s="384"/>
      <c r="B50" s="385"/>
      <c r="C50" s="386"/>
      <c r="D50" s="262"/>
      <c r="E50" s="262"/>
      <c r="F50" s="262"/>
      <c r="G50" s="262"/>
      <c r="H50" s="262"/>
      <c r="I50" s="262"/>
      <c r="J50" s="262"/>
      <c r="K50" s="262"/>
      <c r="L50" s="262"/>
      <c r="M50" s="262"/>
      <c r="N50" s="262"/>
      <c r="O50" s="262"/>
      <c r="P50" s="262"/>
      <c r="Q50" s="262"/>
      <c r="R50" s="262"/>
      <c r="S50" s="262"/>
    </row>
    <row r="51" spans="1:19" ht="15.75">
      <c r="A51" s="96"/>
      <c r="B51" s="387"/>
      <c r="C51" s="96"/>
      <c r="D51" s="96"/>
      <c r="E51" s="96"/>
      <c r="F51" s="96"/>
      <c r="G51" s="96"/>
      <c r="H51" s="96"/>
      <c r="I51" s="96"/>
      <c r="J51" s="96"/>
      <c r="K51" s="96"/>
      <c r="L51" s="96"/>
      <c r="M51" s="96"/>
      <c r="N51" s="96"/>
      <c r="O51" s="96"/>
      <c r="P51" s="96"/>
      <c r="Q51" s="96"/>
      <c r="R51" s="96"/>
      <c r="S51" s="96"/>
    </row>
    <row r="52" spans="1:19" ht="15.75">
      <c r="A52" s="96"/>
      <c r="B52" s="96"/>
      <c r="C52" s="96"/>
      <c r="D52" s="96"/>
      <c r="E52" s="96"/>
      <c r="F52" s="96"/>
      <c r="G52" s="96"/>
      <c r="H52" s="96"/>
      <c r="I52" s="96"/>
      <c r="J52" s="96"/>
      <c r="K52" s="96"/>
      <c r="L52" s="96"/>
      <c r="M52" s="96"/>
      <c r="N52" s="96"/>
      <c r="O52" s="96"/>
      <c r="P52" s="96"/>
      <c r="Q52" s="96"/>
      <c r="R52" s="96"/>
      <c r="S52" s="96"/>
    </row>
    <row r="55" ht="15.75">
      <c r="C55" s="370"/>
    </row>
    <row r="58" ht="22.5" customHeight="1"/>
    <row r="59" spans="1:19" ht="18.75">
      <c r="A59" s="377"/>
      <c r="B59" s="377"/>
      <c r="C59" s="377"/>
      <c r="D59" s="377"/>
      <c r="E59" s="377"/>
      <c r="F59" s="377"/>
      <c r="G59" s="377"/>
      <c r="H59" s="377"/>
      <c r="I59" s="377"/>
      <c r="J59" s="377"/>
      <c r="K59" s="377"/>
      <c r="L59" s="377"/>
      <c r="M59" s="377"/>
      <c r="N59" s="377"/>
      <c r="O59" s="377"/>
      <c r="P59" s="377"/>
      <c r="Q59" s="377"/>
      <c r="R59" s="377"/>
      <c r="S59" s="377"/>
    </row>
    <row r="60" spans="1:19" ht="18.75">
      <c r="A60" s="377"/>
      <c r="B60" s="377"/>
      <c r="C60" s="377"/>
      <c r="D60" s="377"/>
      <c r="E60" s="377"/>
      <c r="F60" s="377"/>
      <c r="G60" s="377"/>
      <c r="H60" s="377"/>
      <c r="I60" s="377"/>
      <c r="J60" s="377"/>
      <c r="K60" s="377"/>
      <c r="L60" s="377"/>
      <c r="M60" s="377"/>
      <c r="N60" s="377"/>
      <c r="O60" s="377"/>
      <c r="P60" s="377"/>
      <c r="Q60" s="377"/>
      <c r="R60" s="377"/>
      <c r="S60" s="377"/>
    </row>
    <row r="61" spans="1:19" ht="18.75">
      <c r="A61" s="377"/>
      <c r="B61" s="377"/>
      <c r="C61" s="377"/>
      <c r="D61" s="377"/>
      <c r="E61" s="377"/>
      <c r="F61" s="377"/>
      <c r="G61" s="377"/>
      <c r="H61" s="377"/>
      <c r="I61" s="377"/>
      <c r="J61" s="377"/>
      <c r="K61" s="377"/>
      <c r="L61" s="377"/>
      <c r="M61" s="377"/>
      <c r="N61" s="377"/>
      <c r="O61" s="377"/>
      <c r="P61" s="377"/>
      <c r="Q61" s="377"/>
      <c r="R61" s="377"/>
      <c r="S61" s="377"/>
    </row>
    <row r="62" spans="1:19" ht="18.75">
      <c r="A62" s="377"/>
      <c r="B62" s="377"/>
      <c r="C62" s="377"/>
      <c r="D62" s="377"/>
      <c r="E62" s="377"/>
      <c r="F62" s="377"/>
      <c r="G62" s="377"/>
      <c r="H62" s="377"/>
      <c r="I62" s="377"/>
      <c r="J62" s="377"/>
      <c r="K62" s="377"/>
      <c r="L62" s="377"/>
      <c r="M62" s="377"/>
      <c r="N62" s="377"/>
      <c r="O62" s="377"/>
      <c r="P62" s="377"/>
      <c r="Q62" s="377"/>
      <c r="R62" s="377"/>
      <c r="S62" s="377"/>
    </row>
  </sheetData>
  <sheetProtection/>
  <mergeCells count="21">
    <mergeCell ref="A4:S4"/>
    <mergeCell ref="F6:F9"/>
    <mergeCell ref="A6:A9"/>
    <mergeCell ref="C6:C9"/>
    <mergeCell ref="D6:D9"/>
    <mergeCell ref="R6:R9"/>
    <mergeCell ref="G6:G9"/>
    <mergeCell ref="H6:H9"/>
    <mergeCell ref="I6:I9"/>
    <mergeCell ref="E6:E9"/>
    <mergeCell ref="B6:B9"/>
    <mergeCell ref="L6:L9"/>
    <mergeCell ref="Q6:Q9"/>
    <mergeCell ref="M6:M9"/>
    <mergeCell ref="K6:K9"/>
    <mergeCell ref="S6:S9"/>
    <mergeCell ref="N7:N9"/>
    <mergeCell ref="O7:O9"/>
    <mergeCell ref="N6:P6"/>
    <mergeCell ref="P7:P9"/>
    <mergeCell ref="J6:J9"/>
  </mergeCells>
  <printOptions horizontalCentered="1"/>
  <pageMargins left="0.2" right="0" top="0.69" bottom="0.62" header="0.36" footer="0.44"/>
  <pageSetup fitToHeight="0" fitToWidth="1" horizontalDpi="600" verticalDpi="600" orientation="landscape" paperSize="9" scale="71" r:id="rId3"/>
  <headerFooter alignWithMargins="0">
    <oddFooter>&amp;C&amp;".VnTime,Italic"&amp;8
</oddFooter>
  </headerFooter>
  <legacy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B50"/>
  <sheetViews>
    <sheetView view="pageBreakPreview" zoomScale="80" zoomScaleNormal="55" zoomScaleSheetLayoutView="80" zoomScalePageLayoutView="0" workbookViewId="0" topLeftCell="A1">
      <pane xSplit="2" ySplit="13" topLeftCell="C17" activePane="bottomRight" state="frozen"/>
      <selection pane="topLeft" activeCell="A1" sqref="A1"/>
      <selection pane="topRight" activeCell="C1" sqref="C1"/>
      <selection pane="bottomLeft" activeCell="A14" sqref="A14"/>
      <selection pane="bottomRight" activeCell="H25" sqref="H25"/>
    </sheetView>
  </sheetViews>
  <sheetFormatPr defaultColWidth="8.796875" defaultRowHeight="15"/>
  <cols>
    <col min="1" max="1" width="5.59765625" style="4" customWidth="1"/>
    <col min="2" max="2" width="23.59765625" style="329" customWidth="1"/>
    <col min="3" max="4" width="9.19921875" style="4" customWidth="1"/>
    <col min="5" max="6" width="8.3984375" style="4" customWidth="1"/>
    <col min="7" max="7" width="8.09765625" style="4" customWidth="1"/>
    <col min="8" max="8" width="8" style="4" customWidth="1"/>
    <col min="9" max="9" width="6.19921875" style="4" customWidth="1"/>
    <col min="10" max="11" width="8.5" style="4" customWidth="1"/>
    <col min="12" max="12" width="6.09765625" style="4" customWidth="1"/>
    <col min="13" max="15" width="7" style="4" customWidth="1"/>
    <col min="16" max="16" width="6" style="4" customWidth="1"/>
    <col min="17" max="18" width="8.5" style="4" customWidth="1"/>
    <col min="19" max="19" width="5.8984375" style="4" customWidth="1"/>
    <col min="20" max="22" width="8.09765625" style="4" customWidth="1"/>
    <col min="23" max="23" width="6.09765625" style="4" customWidth="1"/>
    <col min="24" max="25" width="8.09765625" style="4" customWidth="1"/>
    <col min="26" max="26" width="6.59765625" style="4" customWidth="1"/>
    <col min="27" max="28" width="0" style="4" hidden="1" customWidth="1"/>
    <col min="29" max="16384" width="9" style="4" customWidth="1"/>
  </cols>
  <sheetData>
    <row r="1" spans="1:26" ht="23.25" customHeight="1">
      <c r="A1" s="153"/>
      <c r="B1" s="298"/>
      <c r="C1" s="154"/>
      <c r="D1" s="154"/>
      <c r="E1" s="154"/>
      <c r="F1" s="154"/>
      <c r="G1" s="154"/>
      <c r="H1" s="154"/>
      <c r="I1" s="154"/>
      <c r="J1" s="299"/>
      <c r="K1" s="299"/>
      <c r="L1" s="154"/>
      <c r="M1" s="154"/>
      <c r="N1" s="154"/>
      <c r="O1" s="154"/>
      <c r="P1" s="154"/>
      <c r="Q1" s="299"/>
      <c r="R1" s="299"/>
      <c r="S1" s="154"/>
      <c r="T1" s="448" t="s">
        <v>180</v>
      </c>
      <c r="U1" s="448"/>
      <c r="V1" s="448"/>
      <c r="W1" s="448"/>
      <c r="X1" s="448"/>
      <c r="Y1" s="448"/>
      <c r="Z1" s="448"/>
    </row>
    <row r="2" spans="1:26" ht="12.75" customHeight="1" hidden="1">
      <c r="A2" s="300"/>
      <c r="B2" s="301"/>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s="9" customFormat="1" ht="21" customHeight="1">
      <c r="A3" s="157" t="s">
        <v>365</v>
      </c>
      <c r="B3" s="302"/>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8" ht="21" customHeight="1">
      <c r="A4" s="447" t="str">
        <f>PL15!A3</f>
        <v>(Kèm theo Nghị quyết số       /NQ-HĐND ngày          tháng 12 năm 2023 của HĐND huyện Tuần Giáo)</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303"/>
      <c r="AB4" s="303"/>
    </row>
    <row r="5" spans="1:26" ht="18" customHeight="1" hidden="1">
      <c r="A5" s="299"/>
      <c r="B5" s="304"/>
      <c r="C5" s="154"/>
      <c r="D5" s="154"/>
      <c r="E5" s="154"/>
      <c r="F5" s="154"/>
      <c r="G5" s="154"/>
      <c r="H5" s="154"/>
      <c r="I5" s="154"/>
      <c r="J5" s="154"/>
      <c r="K5" s="154"/>
      <c r="L5" s="154"/>
      <c r="M5" s="154"/>
      <c r="N5" s="154"/>
      <c r="O5" s="154"/>
      <c r="P5" s="154"/>
      <c r="Q5" s="154"/>
      <c r="R5" s="154"/>
      <c r="S5" s="154"/>
      <c r="T5" s="154"/>
      <c r="U5" s="154"/>
      <c r="V5" s="154"/>
      <c r="W5" s="154"/>
      <c r="X5" s="154"/>
      <c r="Y5" s="154"/>
      <c r="Z5" s="154"/>
    </row>
    <row r="6" spans="1:26" ht="14.25" customHeight="1" hidden="1">
      <c r="A6" s="305"/>
      <c r="B6" s="304"/>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26" ht="18.75" customHeight="1">
      <c r="A7" s="162"/>
      <c r="B7" s="306"/>
      <c r="C7" s="163"/>
      <c r="D7" s="163"/>
      <c r="E7" s="163"/>
      <c r="F7" s="163"/>
      <c r="G7" s="163"/>
      <c r="H7" s="163"/>
      <c r="I7" s="163"/>
      <c r="J7" s="307"/>
      <c r="K7" s="446"/>
      <c r="L7" s="446"/>
      <c r="M7" s="163"/>
      <c r="N7" s="163"/>
      <c r="O7" s="163"/>
      <c r="P7" s="163"/>
      <c r="Q7" s="307"/>
      <c r="R7" s="446"/>
      <c r="S7" s="446"/>
      <c r="T7" s="449" t="s">
        <v>90</v>
      </c>
      <c r="U7" s="449"/>
      <c r="V7" s="449"/>
      <c r="W7" s="449"/>
      <c r="X7" s="449"/>
      <c r="Y7" s="449"/>
      <c r="Z7" s="449"/>
    </row>
    <row r="8" spans="1:26" s="9" customFormat="1" ht="42.75" customHeight="1">
      <c r="A8" s="444" t="s">
        <v>60</v>
      </c>
      <c r="B8" s="444" t="s">
        <v>157</v>
      </c>
      <c r="C8" s="444" t="s">
        <v>79</v>
      </c>
      <c r="D8" s="444" t="s">
        <v>32</v>
      </c>
      <c r="E8" s="444"/>
      <c r="F8" s="444" t="s">
        <v>306</v>
      </c>
      <c r="G8" s="444"/>
      <c r="H8" s="444"/>
      <c r="I8" s="444"/>
      <c r="J8" s="444"/>
      <c r="K8" s="444"/>
      <c r="L8" s="444"/>
      <c r="M8" s="444" t="s">
        <v>155</v>
      </c>
      <c r="N8" s="444"/>
      <c r="O8" s="444"/>
      <c r="P8" s="444"/>
      <c r="Q8" s="444"/>
      <c r="R8" s="444"/>
      <c r="S8" s="444"/>
      <c r="T8" s="444" t="s">
        <v>156</v>
      </c>
      <c r="U8" s="444"/>
      <c r="V8" s="444"/>
      <c r="W8" s="444"/>
      <c r="X8" s="444"/>
      <c r="Y8" s="444"/>
      <c r="Z8" s="444"/>
    </row>
    <row r="9" spans="1:26" s="9" customFormat="1" ht="20.25" customHeight="1">
      <c r="A9" s="444"/>
      <c r="B9" s="444"/>
      <c r="C9" s="444"/>
      <c r="D9" s="445" t="s">
        <v>136</v>
      </c>
      <c r="E9" s="445" t="s">
        <v>137</v>
      </c>
      <c r="F9" s="445" t="s">
        <v>53</v>
      </c>
      <c r="G9" s="445" t="s">
        <v>136</v>
      </c>
      <c r="H9" s="445"/>
      <c r="I9" s="445"/>
      <c r="J9" s="445" t="s">
        <v>137</v>
      </c>
      <c r="K9" s="445"/>
      <c r="L9" s="445"/>
      <c r="M9" s="445" t="s">
        <v>53</v>
      </c>
      <c r="N9" s="445" t="s">
        <v>136</v>
      </c>
      <c r="O9" s="445"/>
      <c r="P9" s="445"/>
      <c r="Q9" s="445" t="s">
        <v>137</v>
      </c>
      <c r="R9" s="445"/>
      <c r="S9" s="445"/>
      <c r="T9" s="445" t="s">
        <v>53</v>
      </c>
      <c r="U9" s="445" t="s">
        <v>136</v>
      </c>
      <c r="V9" s="445"/>
      <c r="W9" s="445"/>
      <c r="X9" s="445" t="s">
        <v>137</v>
      </c>
      <c r="Y9" s="445"/>
      <c r="Z9" s="445"/>
    </row>
    <row r="10" spans="1:26" s="9" customFormat="1" ht="20.25" customHeight="1">
      <c r="A10" s="444"/>
      <c r="B10" s="444"/>
      <c r="C10" s="444"/>
      <c r="D10" s="445"/>
      <c r="E10" s="445"/>
      <c r="F10" s="445"/>
      <c r="G10" s="445" t="s">
        <v>79</v>
      </c>
      <c r="H10" s="445" t="s">
        <v>69</v>
      </c>
      <c r="I10" s="445" t="s">
        <v>70</v>
      </c>
      <c r="J10" s="445" t="s">
        <v>79</v>
      </c>
      <c r="K10" s="445" t="s">
        <v>69</v>
      </c>
      <c r="L10" s="445" t="s">
        <v>70</v>
      </c>
      <c r="M10" s="445"/>
      <c r="N10" s="445" t="s">
        <v>79</v>
      </c>
      <c r="O10" s="445" t="s">
        <v>69</v>
      </c>
      <c r="P10" s="445" t="s">
        <v>70</v>
      </c>
      <c r="Q10" s="445" t="s">
        <v>79</v>
      </c>
      <c r="R10" s="445" t="s">
        <v>69</v>
      </c>
      <c r="S10" s="445" t="s">
        <v>70</v>
      </c>
      <c r="T10" s="445"/>
      <c r="U10" s="445" t="s">
        <v>79</v>
      </c>
      <c r="V10" s="445" t="s">
        <v>69</v>
      </c>
      <c r="W10" s="445" t="s">
        <v>70</v>
      </c>
      <c r="X10" s="445" t="s">
        <v>79</v>
      </c>
      <c r="Y10" s="445" t="s">
        <v>69</v>
      </c>
      <c r="Z10" s="445" t="s">
        <v>70</v>
      </c>
    </row>
    <row r="11" spans="1:26" s="9" customFormat="1" ht="20.25" customHeight="1">
      <c r="A11" s="444"/>
      <c r="B11" s="444"/>
      <c r="C11" s="444"/>
      <c r="D11" s="445"/>
      <c r="E11" s="445"/>
      <c r="F11" s="445"/>
      <c r="G11" s="445"/>
      <c r="H11" s="445"/>
      <c r="I11" s="445"/>
      <c r="J11" s="445"/>
      <c r="K11" s="445"/>
      <c r="L11" s="445"/>
      <c r="M11" s="445"/>
      <c r="N11" s="445"/>
      <c r="O11" s="445"/>
      <c r="P11" s="445"/>
      <c r="Q11" s="445"/>
      <c r="R11" s="445"/>
      <c r="S11" s="445"/>
      <c r="T11" s="445"/>
      <c r="U11" s="445"/>
      <c r="V11" s="445"/>
      <c r="W11" s="445"/>
      <c r="X11" s="445"/>
      <c r="Y11" s="445"/>
      <c r="Z11" s="445"/>
    </row>
    <row r="12" spans="1:26" s="9" customFormat="1" ht="20.25" customHeight="1">
      <c r="A12" s="444"/>
      <c r="B12" s="444"/>
      <c r="C12" s="444"/>
      <c r="D12" s="445"/>
      <c r="E12" s="445"/>
      <c r="F12" s="445"/>
      <c r="G12" s="445"/>
      <c r="H12" s="445"/>
      <c r="I12" s="445"/>
      <c r="J12" s="445"/>
      <c r="K12" s="445"/>
      <c r="L12" s="445"/>
      <c r="M12" s="445"/>
      <c r="N12" s="445"/>
      <c r="O12" s="445"/>
      <c r="P12" s="445"/>
      <c r="Q12" s="445"/>
      <c r="R12" s="445"/>
      <c r="S12" s="445"/>
      <c r="T12" s="445"/>
      <c r="U12" s="445"/>
      <c r="V12" s="445"/>
      <c r="W12" s="445"/>
      <c r="X12" s="445"/>
      <c r="Y12" s="445"/>
      <c r="Z12" s="445"/>
    </row>
    <row r="13" spans="1:26" s="311" customFormat="1" ht="17.25" customHeight="1">
      <c r="A13" s="308" t="s">
        <v>10</v>
      </c>
      <c r="B13" s="309" t="s">
        <v>11</v>
      </c>
      <c r="C13" s="308" t="s">
        <v>48</v>
      </c>
      <c r="D13" s="308" t="s">
        <v>80</v>
      </c>
      <c r="E13" s="308" t="s">
        <v>81</v>
      </c>
      <c r="F13" s="308" t="s">
        <v>82</v>
      </c>
      <c r="G13" s="308" t="s">
        <v>83</v>
      </c>
      <c r="H13" s="308">
        <v>6</v>
      </c>
      <c r="I13" s="308">
        <f>H13+1</f>
        <v>7</v>
      </c>
      <c r="J13" s="308" t="s">
        <v>71</v>
      </c>
      <c r="K13" s="308">
        <v>9</v>
      </c>
      <c r="L13" s="308">
        <f>K13+1</f>
        <v>10</v>
      </c>
      <c r="M13" s="308" t="s">
        <v>82</v>
      </c>
      <c r="N13" s="308" t="s">
        <v>83</v>
      </c>
      <c r="O13" s="308">
        <v>6</v>
      </c>
      <c r="P13" s="308">
        <f>O13+1</f>
        <v>7</v>
      </c>
      <c r="Q13" s="308" t="s">
        <v>71</v>
      </c>
      <c r="R13" s="308">
        <v>9</v>
      </c>
      <c r="S13" s="308">
        <f>R13+1</f>
        <v>10</v>
      </c>
      <c r="T13" s="310" t="s">
        <v>84</v>
      </c>
      <c r="U13" s="310" t="s">
        <v>85</v>
      </c>
      <c r="V13" s="308">
        <v>13</v>
      </c>
      <c r="W13" s="308">
        <f>V13+1</f>
        <v>14</v>
      </c>
      <c r="X13" s="310" t="s">
        <v>86</v>
      </c>
      <c r="Y13" s="308">
        <v>16</v>
      </c>
      <c r="Z13" s="308">
        <f>Y13+1</f>
        <v>17</v>
      </c>
    </row>
    <row r="14" spans="1:28" s="315" customFormat="1" ht="21" customHeight="1">
      <c r="A14" s="312"/>
      <c r="B14" s="313" t="s">
        <v>30</v>
      </c>
      <c r="C14" s="314">
        <f>C15+C26</f>
        <v>271066</v>
      </c>
      <c r="D14" s="314">
        <f aca="true" t="shared" si="0" ref="D14:Z14">D15+D26</f>
        <v>123330</v>
      </c>
      <c r="E14" s="314">
        <f t="shared" si="0"/>
        <v>147736</v>
      </c>
      <c r="F14" s="314">
        <f t="shared" si="0"/>
        <v>210014</v>
      </c>
      <c r="G14" s="314">
        <f t="shared" si="0"/>
        <v>110034</v>
      </c>
      <c r="H14" s="314">
        <f t="shared" si="0"/>
        <v>110034</v>
      </c>
      <c r="I14" s="314">
        <f t="shared" si="0"/>
        <v>0</v>
      </c>
      <c r="J14" s="314">
        <f t="shared" si="0"/>
        <v>99980</v>
      </c>
      <c r="K14" s="314">
        <f t="shared" si="0"/>
        <v>99980</v>
      </c>
      <c r="L14" s="314">
        <f t="shared" si="0"/>
        <v>0</v>
      </c>
      <c r="M14" s="314">
        <f t="shared" si="0"/>
        <v>48946</v>
      </c>
      <c r="N14" s="314">
        <f t="shared" si="0"/>
        <v>3000</v>
      </c>
      <c r="O14" s="314">
        <f t="shared" si="0"/>
        <v>3000</v>
      </c>
      <c r="P14" s="314">
        <f t="shared" si="0"/>
        <v>0</v>
      </c>
      <c r="Q14" s="314">
        <f t="shared" si="0"/>
        <v>45946</v>
      </c>
      <c r="R14" s="314">
        <f t="shared" si="0"/>
        <v>45946</v>
      </c>
      <c r="S14" s="314">
        <f t="shared" si="0"/>
        <v>0</v>
      </c>
      <c r="T14" s="314">
        <f t="shared" si="0"/>
        <v>12106</v>
      </c>
      <c r="U14" s="314">
        <f t="shared" si="0"/>
        <v>10296</v>
      </c>
      <c r="V14" s="314">
        <f t="shared" si="0"/>
        <v>10296</v>
      </c>
      <c r="W14" s="314">
        <f t="shared" si="0"/>
        <v>0</v>
      </c>
      <c r="X14" s="314">
        <f t="shared" si="0"/>
        <v>1810</v>
      </c>
      <c r="Y14" s="314">
        <f t="shared" si="0"/>
        <v>1810</v>
      </c>
      <c r="Z14" s="314">
        <f t="shared" si="0"/>
        <v>0</v>
      </c>
      <c r="AA14" s="315">
        <f>47926+65161</f>
        <v>113087</v>
      </c>
      <c r="AB14" s="315" t="s">
        <v>225</v>
      </c>
    </row>
    <row r="15" spans="1:28" s="315" customFormat="1" ht="21" customHeight="1">
      <c r="A15" s="312" t="s">
        <v>20</v>
      </c>
      <c r="B15" s="313" t="s">
        <v>152</v>
      </c>
      <c r="C15" s="314">
        <f>SUM(C16:C25)</f>
        <v>238531</v>
      </c>
      <c r="D15" s="314">
        <f>SUM(D16:D25)</f>
        <v>123330</v>
      </c>
      <c r="E15" s="314">
        <f aca="true" t="shared" si="1" ref="E15:Z15">SUM(E16:E25)</f>
        <v>115201</v>
      </c>
      <c r="F15" s="314">
        <f t="shared" si="1"/>
        <v>198937</v>
      </c>
      <c r="G15" s="314">
        <f t="shared" si="1"/>
        <v>110034</v>
      </c>
      <c r="H15" s="314">
        <f t="shared" si="1"/>
        <v>110034</v>
      </c>
      <c r="I15" s="314">
        <f t="shared" si="1"/>
        <v>0</v>
      </c>
      <c r="J15" s="314">
        <f t="shared" si="1"/>
        <v>88903</v>
      </c>
      <c r="K15" s="314">
        <f t="shared" si="1"/>
        <v>88903</v>
      </c>
      <c r="L15" s="314">
        <f t="shared" si="1"/>
        <v>0</v>
      </c>
      <c r="M15" s="314">
        <f t="shared" si="1"/>
        <v>28568</v>
      </c>
      <c r="N15" s="314">
        <f t="shared" si="1"/>
        <v>3000</v>
      </c>
      <c r="O15" s="314">
        <f t="shared" si="1"/>
        <v>3000</v>
      </c>
      <c r="P15" s="314">
        <f t="shared" si="1"/>
        <v>0</v>
      </c>
      <c r="Q15" s="314">
        <f t="shared" si="1"/>
        <v>25568</v>
      </c>
      <c r="R15" s="314">
        <f t="shared" si="1"/>
        <v>25568</v>
      </c>
      <c r="S15" s="314">
        <f t="shared" si="1"/>
        <v>0</v>
      </c>
      <c r="T15" s="314">
        <f t="shared" si="1"/>
        <v>11026</v>
      </c>
      <c r="U15" s="314">
        <f t="shared" si="1"/>
        <v>10296</v>
      </c>
      <c r="V15" s="314">
        <f t="shared" si="1"/>
        <v>10296</v>
      </c>
      <c r="W15" s="314">
        <f t="shared" si="1"/>
        <v>0</v>
      </c>
      <c r="X15" s="314">
        <f t="shared" si="1"/>
        <v>730</v>
      </c>
      <c r="Y15" s="314">
        <f t="shared" si="1"/>
        <v>730</v>
      </c>
      <c r="Z15" s="314">
        <f t="shared" si="1"/>
        <v>0</v>
      </c>
      <c r="AA15" s="315">
        <f>15230+10671</f>
        <v>25901</v>
      </c>
      <c r="AB15" s="315" t="s">
        <v>226</v>
      </c>
    </row>
    <row r="16" spans="1:26" s="319" customFormat="1" ht="21" customHeight="1" hidden="1">
      <c r="A16" s="295">
        <v>1</v>
      </c>
      <c r="B16" s="316" t="s">
        <v>367</v>
      </c>
      <c r="C16" s="317">
        <f aca="true" t="shared" si="2" ref="C16:C23">D16+E16</f>
        <v>0</v>
      </c>
      <c r="D16" s="317">
        <f>+G16+N16+U16</f>
        <v>0</v>
      </c>
      <c r="E16" s="317">
        <f>J16+Q16+X16</f>
        <v>0</v>
      </c>
      <c r="F16" s="317">
        <f>G16+J16</f>
        <v>0</v>
      </c>
      <c r="G16" s="317">
        <f>H16+I16</f>
        <v>0</v>
      </c>
      <c r="H16" s="317"/>
      <c r="I16" s="317"/>
      <c r="J16" s="317">
        <f aca="true" t="shared" si="3" ref="J16:J25">K16+L16</f>
        <v>0</v>
      </c>
      <c r="K16" s="318"/>
      <c r="L16" s="317"/>
      <c r="M16" s="317">
        <f>N16+Q16</f>
        <v>0</v>
      </c>
      <c r="N16" s="317">
        <f aca="true" t="shared" si="4" ref="N16:N25">O16+P16</f>
        <v>0</v>
      </c>
      <c r="O16" s="317"/>
      <c r="P16" s="317"/>
      <c r="Q16" s="317">
        <f aca="true" t="shared" si="5" ref="Q16:Q25">R16+S16</f>
        <v>0</v>
      </c>
      <c r="R16" s="318"/>
      <c r="S16" s="317"/>
      <c r="T16" s="317">
        <f>U16+X16</f>
        <v>0</v>
      </c>
      <c r="U16" s="317">
        <f aca="true" t="shared" si="6" ref="U16:U25">V16+W16</f>
        <v>0</v>
      </c>
      <c r="V16" s="317"/>
      <c r="W16" s="317"/>
      <c r="X16" s="317">
        <f aca="true" t="shared" si="7" ref="X16:X25">Y16+Z16</f>
        <v>0</v>
      </c>
      <c r="Y16" s="318"/>
      <c r="Z16" s="317"/>
    </row>
    <row r="17" spans="1:26" s="319" customFormat="1" ht="21" customHeight="1">
      <c r="A17" s="295">
        <v>1</v>
      </c>
      <c r="B17" s="316" t="s">
        <v>329</v>
      </c>
      <c r="C17" s="317">
        <f t="shared" si="2"/>
        <v>230</v>
      </c>
      <c r="D17" s="317">
        <f aca="true" t="shared" si="8" ref="D17:D25">+G17+N17+U17</f>
        <v>0</v>
      </c>
      <c r="E17" s="317">
        <f aca="true" t="shared" si="9" ref="E17:E23">J17+Q17+X17</f>
        <v>230</v>
      </c>
      <c r="F17" s="317">
        <f aca="true" t="shared" si="10" ref="F17:F25">G17+J17</f>
        <v>0</v>
      </c>
      <c r="G17" s="317">
        <f aca="true" t="shared" si="11" ref="G17:G25">H17+I17</f>
        <v>0</v>
      </c>
      <c r="H17" s="317"/>
      <c r="I17" s="317"/>
      <c r="J17" s="317">
        <f t="shared" si="3"/>
        <v>0</v>
      </c>
      <c r="K17" s="318"/>
      <c r="L17" s="317"/>
      <c r="M17" s="317">
        <f aca="true" t="shared" si="12" ref="M17:M25">N17+Q17</f>
        <v>0</v>
      </c>
      <c r="N17" s="317">
        <f t="shared" si="4"/>
        <v>0</v>
      </c>
      <c r="O17" s="317"/>
      <c r="P17" s="317"/>
      <c r="Q17" s="317">
        <f t="shared" si="5"/>
        <v>0</v>
      </c>
      <c r="R17" s="318"/>
      <c r="S17" s="317"/>
      <c r="T17" s="317">
        <f aca="true" t="shared" si="13" ref="T17:T25">U17+X17</f>
        <v>230</v>
      </c>
      <c r="U17" s="317">
        <f t="shared" si="6"/>
        <v>0</v>
      </c>
      <c r="V17" s="317"/>
      <c r="W17" s="317"/>
      <c r="X17" s="317">
        <f t="shared" si="7"/>
        <v>230</v>
      </c>
      <c r="Y17" s="318">
        <v>230</v>
      </c>
      <c r="Z17" s="317"/>
    </row>
    <row r="18" spans="1:26" s="319" customFormat="1" ht="21" customHeight="1" hidden="1">
      <c r="A18" s="295">
        <v>3</v>
      </c>
      <c r="B18" s="316" t="s">
        <v>167</v>
      </c>
      <c r="C18" s="317">
        <f t="shared" si="2"/>
        <v>0</v>
      </c>
      <c r="D18" s="317">
        <f t="shared" si="8"/>
        <v>0</v>
      </c>
      <c r="E18" s="317">
        <f t="shared" si="9"/>
        <v>0</v>
      </c>
      <c r="F18" s="317">
        <f t="shared" si="10"/>
        <v>0</v>
      </c>
      <c r="G18" s="317">
        <f t="shared" si="11"/>
        <v>0</v>
      </c>
      <c r="H18" s="317"/>
      <c r="I18" s="317"/>
      <c r="J18" s="317">
        <f t="shared" si="3"/>
        <v>0</v>
      </c>
      <c r="K18" s="318"/>
      <c r="L18" s="317"/>
      <c r="M18" s="317">
        <f t="shared" si="12"/>
        <v>0</v>
      </c>
      <c r="N18" s="317">
        <f t="shared" si="4"/>
        <v>0</v>
      </c>
      <c r="O18" s="317"/>
      <c r="P18" s="317"/>
      <c r="Q18" s="317">
        <f t="shared" si="5"/>
        <v>0</v>
      </c>
      <c r="R18" s="318"/>
      <c r="S18" s="317"/>
      <c r="T18" s="317">
        <f t="shared" si="13"/>
        <v>0</v>
      </c>
      <c r="U18" s="317">
        <f t="shared" si="6"/>
        <v>0</v>
      </c>
      <c r="V18" s="317"/>
      <c r="W18" s="317"/>
      <c r="X18" s="317">
        <f t="shared" si="7"/>
        <v>0</v>
      </c>
      <c r="Y18" s="318"/>
      <c r="Z18" s="317"/>
    </row>
    <row r="19" spans="1:26" s="319" customFormat="1" ht="21" customHeight="1">
      <c r="A19" s="295">
        <v>2</v>
      </c>
      <c r="B19" s="316" t="s">
        <v>168</v>
      </c>
      <c r="C19" s="317">
        <f t="shared" si="2"/>
        <v>1886</v>
      </c>
      <c r="D19" s="317">
        <f t="shared" si="8"/>
        <v>0</v>
      </c>
      <c r="E19" s="317">
        <f t="shared" si="9"/>
        <v>1886</v>
      </c>
      <c r="F19" s="317">
        <f t="shared" si="10"/>
        <v>0</v>
      </c>
      <c r="G19" s="317">
        <f t="shared" si="11"/>
        <v>0</v>
      </c>
      <c r="H19" s="317"/>
      <c r="I19" s="317"/>
      <c r="J19" s="317">
        <f t="shared" si="3"/>
        <v>0</v>
      </c>
      <c r="K19" s="318"/>
      <c r="L19" s="317"/>
      <c r="M19" s="317">
        <f t="shared" si="12"/>
        <v>1886</v>
      </c>
      <c r="N19" s="317">
        <f t="shared" si="4"/>
        <v>0</v>
      </c>
      <c r="O19" s="317"/>
      <c r="P19" s="317"/>
      <c r="Q19" s="317">
        <f t="shared" si="5"/>
        <v>1886</v>
      </c>
      <c r="R19" s="318">
        <v>1886</v>
      </c>
      <c r="S19" s="317"/>
      <c r="T19" s="317">
        <f t="shared" si="13"/>
        <v>0</v>
      </c>
      <c r="U19" s="317">
        <f t="shared" si="6"/>
        <v>0</v>
      </c>
      <c r="V19" s="317"/>
      <c r="W19" s="317"/>
      <c r="X19" s="317">
        <f t="shared" si="7"/>
        <v>0</v>
      </c>
      <c r="Y19" s="318"/>
      <c r="Z19" s="317"/>
    </row>
    <row r="20" spans="1:26" s="319" customFormat="1" ht="21" customHeight="1">
      <c r="A20" s="295">
        <v>3</v>
      </c>
      <c r="B20" s="316" t="s">
        <v>366</v>
      </c>
      <c r="C20" s="317">
        <f t="shared" si="2"/>
        <v>1476</v>
      </c>
      <c r="D20" s="317">
        <f t="shared" si="8"/>
        <v>0</v>
      </c>
      <c r="E20" s="317">
        <f t="shared" si="9"/>
        <v>1476</v>
      </c>
      <c r="F20" s="317">
        <f t="shared" si="10"/>
        <v>0</v>
      </c>
      <c r="G20" s="317">
        <f t="shared" si="11"/>
        <v>0</v>
      </c>
      <c r="H20" s="317"/>
      <c r="I20" s="317"/>
      <c r="J20" s="317">
        <f t="shared" si="3"/>
        <v>0</v>
      </c>
      <c r="K20" s="318"/>
      <c r="L20" s="317"/>
      <c r="M20" s="317">
        <f t="shared" si="12"/>
        <v>1476</v>
      </c>
      <c r="N20" s="317">
        <f t="shared" si="4"/>
        <v>0</v>
      </c>
      <c r="O20" s="317"/>
      <c r="P20" s="317"/>
      <c r="Q20" s="317">
        <f t="shared" si="5"/>
        <v>1476</v>
      </c>
      <c r="R20" s="318">
        <v>1476</v>
      </c>
      <c r="S20" s="317"/>
      <c r="T20" s="317">
        <f t="shared" si="13"/>
        <v>0</v>
      </c>
      <c r="U20" s="317">
        <f t="shared" si="6"/>
        <v>0</v>
      </c>
      <c r="V20" s="317"/>
      <c r="W20" s="317"/>
      <c r="X20" s="317">
        <f t="shared" si="7"/>
        <v>0</v>
      </c>
      <c r="Y20" s="318"/>
      <c r="Z20" s="317"/>
    </row>
    <row r="21" spans="1:26" s="319" customFormat="1" ht="21" customHeight="1">
      <c r="A21" s="295">
        <v>4</v>
      </c>
      <c r="B21" s="316" t="s">
        <v>171</v>
      </c>
      <c r="C21" s="317">
        <f t="shared" si="2"/>
        <v>8978</v>
      </c>
      <c r="D21" s="317">
        <f t="shared" si="8"/>
        <v>0</v>
      </c>
      <c r="E21" s="317">
        <f t="shared" si="9"/>
        <v>8978</v>
      </c>
      <c r="F21" s="317">
        <f t="shared" si="10"/>
        <v>8978</v>
      </c>
      <c r="G21" s="317">
        <f t="shared" si="11"/>
        <v>0</v>
      </c>
      <c r="H21" s="317"/>
      <c r="I21" s="317"/>
      <c r="J21" s="317">
        <f t="shared" si="3"/>
        <v>8978</v>
      </c>
      <c r="K21" s="318">
        <v>8978</v>
      </c>
      <c r="L21" s="317"/>
      <c r="M21" s="317">
        <f t="shared" si="12"/>
        <v>0</v>
      </c>
      <c r="N21" s="317">
        <f t="shared" si="4"/>
        <v>0</v>
      </c>
      <c r="O21" s="317"/>
      <c r="P21" s="317"/>
      <c r="Q21" s="317">
        <f t="shared" si="5"/>
        <v>0</v>
      </c>
      <c r="R21" s="318"/>
      <c r="S21" s="317"/>
      <c r="T21" s="317">
        <f t="shared" si="13"/>
        <v>0</v>
      </c>
      <c r="U21" s="317">
        <f t="shared" si="6"/>
        <v>0</v>
      </c>
      <c r="V21" s="317"/>
      <c r="W21" s="317"/>
      <c r="X21" s="317">
        <f t="shared" si="7"/>
        <v>0</v>
      </c>
      <c r="Y21" s="318"/>
      <c r="Z21" s="317"/>
    </row>
    <row r="22" spans="1:26" s="319" customFormat="1" ht="21" customHeight="1">
      <c r="A22" s="295">
        <v>5</v>
      </c>
      <c r="B22" s="316" t="s">
        <v>333</v>
      </c>
      <c r="C22" s="317">
        <f t="shared" si="2"/>
        <v>2712</v>
      </c>
      <c r="D22" s="317">
        <f t="shared" si="8"/>
        <v>0</v>
      </c>
      <c r="E22" s="317">
        <f t="shared" si="9"/>
        <v>2712</v>
      </c>
      <c r="F22" s="317">
        <f t="shared" si="10"/>
        <v>626</v>
      </c>
      <c r="G22" s="317">
        <f t="shared" si="11"/>
        <v>0</v>
      </c>
      <c r="H22" s="317"/>
      <c r="I22" s="317"/>
      <c r="J22" s="317">
        <f t="shared" si="3"/>
        <v>626</v>
      </c>
      <c r="K22" s="318">
        <v>626</v>
      </c>
      <c r="L22" s="317"/>
      <c r="M22" s="317">
        <f t="shared" si="12"/>
        <v>1586</v>
      </c>
      <c r="N22" s="317">
        <f t="shared" si="4"/>
        <v>0</v>
      </c>
      <c r="O22" s="317"/>
      <c r="P22" s="317"/>
      <c r="Q22" s="317">
        <f t="shared" si="5"/>
        <v>1586</v>
      </c>
      <c r="R22" s="318">
        <v>1586</v>
      </c>
      <c r="S22" s="317"/>
      <c r="T22" s="317">
        <f t="shared" si="13"/>
        <v>500</v>
      </c>
      <c r="U22" s="317">
        <f t="shared" si="6"/>
        <v>0</v>
      </c>
      <c r="V22" s="317"/>
      <c r="W22" s="317"/>
      <c r="X22" s="317">
        <f t="shared" si="7"/>
        <v>500</v>
      </c>
      <c r="Y22" s="318">
        <v>500</v>
      </c>
      <c r="Z22" s="317"/>
    </row>
    <row r="23" spans="1:26" s="319" customFormat="1" ht="21" customHeight="1">
      <c r="A23" s="295">
        <v>6</v>
      </c>
      <c r="B23" s="316" t="s">
        <v>217</v>
      </c>
      <c r="C23" s="317">
        <f t="shared" si="2"/>
        <v>5108</v>
      </c>
      <c r="D23" s="317">
        <f t="shared" si="8"/>
        <v>0</v>
      </c>
      <c r="E23" s="317">
        <f t="shared" si="9"/>
        <v>5108</v>
      </c>
      <c r="F23" s="317">
        <f t="shared" si="10"/>
        <v>2580</v>
      </c>
      <c r="G23" s="317">
        <f t="shared" si="11"/>
        <v>0</v>
      </c>
      <c r="H23" s="317"/>
      <c r="I23" s="317"/>
      <c r="J23" s="317">
        <f t="shared" si="3"/>
        <v>2580</v>
      </c>
      <c r="K23" s="318">
        <v>2580</v>
      </c>
      <c r="L23" s="317"/>
      <c r="M23" s="317">
        <f t="shared" si="12"/>
        <v>2528</v>
      </c>
      <c r="N23" s="317">
        <f t="shared" si="4"/>
        <v>0</v>
      </c>
      <c r="O23" s="317"/>
      <c r="P23" s="317"/>
      <c r="Q23" s="317">
        <f t="shared" si="5"/>
        <v>2528</v>
      </c>
      <c r="R23" s="318">
        <v>2528</v>
      </c>
      <c r="S23" s="317"/>
      <c r="T23" s="317">
        <f t="shared" si="13"/>
        <v>0</v>
      </c>
      <c r="U23" s="317">
        <f t="shared" si="6"/>
        <v>0</v>
      </c>
      <c r="V23" s="317"/>
      <c r="W23" s="317"/>
      <c r="X23" s="317">
        <f t="shared" si="7"/>
        <v>0</v>
      </c>
      <c r="Y23" s="318"/>
      <c r="Z23" s="317"/>
    </row>
    <row r="24" spans="1:26" s="319" customFormat="1" ht="21" customHeight="1">
      <c r="A24" s="295">
        <v>7</v>
      </c>
      <c r="B24" s="316" t="s">
        <v>369</v>
      </c>
      <c r="C24" s="317">
        <f>D24+E24</f>
        <v>92324</v>
      </c>
      <c r="D24" s="317">
        <f>+G24+N24+U24</f>
        <v>0</v>
      </c>
      <c r="E24" s="317">
        <f>J24+Q24+X24</f>
        <v>92324</v>
      </c>
      <c r="F24" s="317">
        <f>G24+J24</f>
        <v>76719</v>
      </c>
      <c r="G24" s="317">
        <f>H24+I24</f>
        <v>0</v>
      </c>
      <c r="H24" s="317"/>
      <c r="I24" s="317"/>
      <c r="J24" s="317">
        <f>K24+L24</f>
        <v>76719</v>
      </c>
      <c r="K24" s="318">
        <v>76719</v>
      </c>
      <c r="L24" s="317"/>
      <c r="M24" s="317">
        <f>N24+Q24</f>
        <v>15605</v>
      </c>
      <c r="N24" s="317">
        <f>O24+P24</f>
        <v>0</v>
      </c>
      <c r="O24" s="317"/>
      <c r="P24" s="317"/>
      <c r="Q24" s="317">
        <f>R24+S24</f>
        <v>15605</v>
      </c>
      <c r="R24" s="318">
        <v>15605</v>
      </c>
      <c r="S24" s="317"/>
      <c r="T24" s="317">
        <f>U24+X24</f>
        <v>0</v>
      </c>
      <c r="U24" s="317">
        <f>V24+W24</f>
        <v>0</v>
      </c>
      <c r="V24" s="317"/>
      <c r="W24" s="317"/>
      <c r="X24" s="317">
        <f>Y24+Z24</f>
        <v>0</v>
      </c>
      <c r="Y24" s="318"/>
      <c r="Z24" s="317"/>
    </row>
    <row r="25" spans="1:26" s="319" customFormat="1" ht="21" customHeight="1">
      <c r="A25" s="295">
        <v>8</v>
      </c>
      <c r="B25" s="316" t="s">
        <v>368</v>
      </c>
      <c r="C25" s="317">
        <f>D25+E25</f>
        <v>125817</v>
      </c>
      <c r="D25" s="317">
        <f t="shared" si="8"/>
        <v>123330</v>
      </c>
      <c r="E25" s="317">
        <f>J25+Q25+X25</f>
        <v>2487</v>
      </c>
      <c r="F25" s="317">
        <f t="shared" si="10"/>
        <v>110034</v>
      </c>
      <c r="G25" s="317">
        <f t="shared" si="11"/>
        <v>110034</v>
      </c>
      <c r="H25" s="514">
        <v>110034</v>
      </c>
      <c r="I25" s="317"/>
      <c r="J25" s="317">
        <f t="shared" si="3"/>
        <v>0</v>
      </c>
      <c r="K25" s="318"/>
      <c r="L25" s="317"/>
      <c r="M25" s="317">
        <f t="shared" si="12"/>
        <v>5487</v>
      </c>
      <c r="N25" s="317">
        <f t="shared" si="4"/>
        <v>3000</v>
      </c>
      <c r="O25" s="481">
        <v>3000</v>
      </c>
      <c r="P25" s="317"/>
      <c r="Q25" s="317">
        <f t="shared" si="5"/>
        <v>2487</v>
      </c>
      <c r="R25" s="318">
        <v>2487</v>
      </c>
      <c r="S25" s="317"/>
      <c r="T25" s="317">
        <f t="shared" si="13"/>
        <v>10296</v>
      </c>
      <c r="U25" s="317">
        <f t="shared" si="6"/>
        <v>10296</v>
      </c>
      <c r="V25" s="481">
        <v>10296</v>
      </c>
      <c r="W25" s="317"/>
      <c r="X25" s="317">
        <f t="shared" si="7"/>
        <v>0</v>
      </c>
      <c r="Y25" s="318"/>
      <c r="Z25" s="317"/>
    </row>
    <row r="26" spans="1:26" s="322" customFormat="1" ht="21" customHeight="1">
      <c r="A26" s="320" t="s">
        <v>21</v>
      </c>
      <c r="B26" s="321" t="s">
        <v>153</v>
      </c>
      <c r="C26" s="314">
        <f>SUM(C27:C45)</f>
        <v>32535</v>
      </c>
      <c r="D26" s="314">
        <f aca="true" t="shared" si="14" ref="D26:Z26">SUM(D27:D45)</f>
        <v>0</v>
      </c>
      <c r="E26" s="314">
        <f t="shared" si="14"/>
        <v>32535</v>
      </c>
      <c r="F26" s="314">
        <f>SUM(F27:F45)</f>
        <v>11077</v>
      </c>
      <c r="G26" s="314">
        <f aca="true" t="shared" si="15" ref="G26:L26">SUM(G27:G45)</f>
        <v>0</v>
      </c>
      <c r="H26" s="314">
        <f t="shared" si="15"/>
        <v>0</v>
      </c>
      <c r="I26" s="314">
        <f t="shared" si="15"/>
        <v>0</v>
      </c>
      <c r="J26" s="314">
        <f t="shared" si="15"/>
        <v>11077</v>
      </c>
      <c r="K26" s="314">
        <f t="shared" si="15"/>
        <v>11077</v>
      </c>
      <c r="L26" s="314">
        <f t="shared" si="15"/>
        <v>0</v>
      </c>
      <c r="M26" s="314">
        <f t="shared" si="14"/>
        <v>20378</v>
      </c>
      <c r="N26" s="314">
        <f t="shared" si="14"/>
        <v>0</v>
      </c>
      <c r="O26" s="314">
        <f t="shared" si="14"/>
        <v>0</v>
      </c>
      <c r="P26" s="314">
        <f t="shared" si="14"/>
        <v>0</v>
      </c>
      <c r="Q26" s="314">
        <f t="shared" si="14"/>
        <v>20378</v>
      </c>
      <c r="R26" s="314">
        <f t="shared" si="14"/>
        <v>20378</v>
      </c>
      <c r="S26" s="314">
        <f t="shared" si="14"/>
        <v>0</v>
      </c>
      <c r="T26" s="314">
        <f t="shared" si="14"/>
        <v>1080</v>
      </c>
      <c r="U26" s="314">
        <f t="shared" si="14"/>
        <v>0</v>
      </c>
      <c r="V26" s="314">
        <f t="shared" si="14"/>
        <v>0</v>
      </c>
      <c r="W26" s="314">
        <f t="shared" si="14"/>
        <v>0</v>
      </c>
      <c r="X26" s="314">
        <f t="shared" si="14"/>
        <v>1080</v>
      </c>
      <c r="Y26" s="314">
        <f t="shared" si="14"/>
        <v>1080</v>
      </c>
      <c r="Z26" s="314">
        <f t="shared" si="14"/>
        <v>0</v>
      </c>
    </row>
    <row r="27" spans="1:26" s="322" customFormat="1" ht="21" customHeight="1">
      <c r="A27" s="323">
        <v>1</v>
      </c>
      <c r="B27" s="324" t="s">
        <v>285</v>
      </c>
      <c r="C27" s="317">
        <f aca="true" t="shared" si="16" ref="C27:C45">D27+E27</f>
        <v>3268</v>
      </c>
      <c r="D27" s="317">
        <f>I27+P27+W27</f>
        <v>0</v>
      </c>
      <c r="E27" s="317">
        <f>J27+Q27+X27</f>
        <v>3268</v>
      </c>
      <c r="F27" s="317">
        <f>G27+J27</f>
        <v>60</v>
      </c>
      <c r="G27" s="317">
        <f aca="true" t="shared" si="17" ref="G27:G45">H27+I27</f>
        <v>0</v>
      </c>
      <c r="H27" s="317"/>
      <c r="I27" s="317"/>
      <c r="J27" s="317">
        <f aca="true" t="shared" si="18" ref="J27:J45">K27+L27</f>
        <v>60</v>
      </c>
      <c r="K27" s="318">
        <v>60</v>
      </c>
      <c r="L27" s="317"/>
      <c r="M27" s="317">
        <f>N27+Q27</f>
        <v>3183</v>
      </c>
      <c r="N27" s="317">
        <f aca="true" t="shared" si="19" ref="N27:N45">O27+P27</f>
        <v>0</v>
      </c>
      <c r="O27" s="317"/>
      <c r="P27" s="317"/>
      <c r="Q27" s="317">
        <f aca="true" t="shared" si="20" ref="Q27:Q45">R27+S27</f>
        <v>3183</v>
      </c>
      <c r="R27" s="318">
        <v>3183</v>
      </c>
      <c r="S27" s="317"/>
      <c r="T27" s="317">
        <f>U27+X27</f>
        <v>25</v>
      </c>
      <c r="U27" s="317">
        <f aca="true" t="shared" si="21" ref="U27:U45">V27+W27</f>
        <v>0</v>
      </c>
      <c r="V27" s="317"/>
      <c r="W27" s="317"/>
      <c r="X27" s="317">
        <f aca="true" t="shared" si="22" ref="X27:X45">Y27+Z27</f>
        <v>25</v>
      </c>
      <c r="Y27" s="318">
        <v>25</v>
      </c>
      <c r="Z27" s="317"/>
    </row>
    <row r="28" spans="1:26" s="322" customFormat="1" ht="21" customHeight="1">
      <c r="A28" s="323">
        <v>2</v>
      </c>
      <c r="B28" s="324" t="s">
        <v>286</v>
      </c>
      <c r="C28" s="317">
        <f t="shared" si="16"/>
        <v>1312</v>
      </c>
      <c r="D28" s="317">
        <f aca="true" t="shared" si="23" ref="D28:D45">I28+P28+W28</f>
        <v>0</v>
      </c>
      <c r="E28" s="317">
        <f aca="true" t="shared" si="24" ref="E28:E45">J28+Q28+X28</f>
        <v>1312</v>
      </c>
      <c r="F28" s="317">
        <f aca="true" t="shared" si="25" ref="F28:F45">G28+J28</f>
        <v>622</v>
      </c>
      <c r="G28" s="317">
        <f t="shared" si="17"/>
        <v>0</v>
      </c>
      <c r="H28" s="317"/>
      <c r="I28" s="317"/>
      <c r="J28" s="317">
        <f t="shared" si="18"/>
        <v>622</v>
      </c>
      <c r="K28" s="318">
        <v>622</v>
      </c>
      <c r="L28" s="317"/>
      <c r="M28" s="317">
        <f aca="true" t="shared" si="26" ref="M28:M45">N28+Q28</f>
        <v>680</v>
      </c>
      <c r="N28" s="317">
        <f t="shared" si="19"/>
        <v>0</v>
      </c>
      <c r="O28" s="317"/>
      <c r="P28" s="317"/>
      <c r="Q28" s="317">
        <f t="shared" si="20"/>
        <v>680</v>
      </c>
      <c r="R28" s="318">
        <v>680</v>
      </c>
      <c r="S28" s="317"/>
      <c r="T28" s="317">
        <f aca="true" t="shared" si="27" ref="T28:T45">U28+X28</f>
        <v>10</v>
      </c>
      <c r="U28" s="317">
        <f t="shared" si="21"/>
        <v>0</v>
      </c>
      <c r="V28" s="317"/>
      <c r="W28" s="317"/>
      <c r="X28" s="317">
        <f t="shared" si="22"/>
        <v>10</v>
      </c>
      <c r="Y28" s="318">
        <v>10</v>
      </c>
      <c r="Z28" s="317"/>
    </row>
    <row r="29" spans="1:26" s="315" customFormat="1" ht="21" customHeight="1">
      <c r="A29" s="323">
        <v>3</v>
      </c>
      <c r="B29" s="324" t="s">
        <v>287</v>
      </c>
      <c r="C29" s="317">
        <f t="shared" si="16"/>
        <v>1561</v>
      </c>
      <c r="D29" s="317">
        <f t="shared" si="23"/>
        <v>0</v>
      </c>
      <c r="E29" s="317">
        <f t="shared" si="24"/>
        <v>1561</v>
      </c>
      <c r="F29" s="317">
        <f t="shared" si="25"/>
        <v>576</v>
      </c>
      <c r="G29" s="317">
        <f t="shared" si="17"/>
        <v>0</v>
      </c>
      <c r="H29" s="317"/>
      <c r="I29" s="317"/>
      <c r="J29" s="317">
        <f t="shared" si="18"/>
        <v>576</v>
      </c>
      <c r="K29" s="318">
        <v>576</v>
      </c>
      <c r="L29" s="317"/>
      <c r="M29" s="317">
        <f t="shared" si="26"/>
        <v>975</v>
      </c>
      <c r="N29" s="317">
        <f t="shared" si="19"/>
        <v>0</v>
      </c>
      <c r="O29" s="317"/>
      <c r="P29" s="317"/>
      <c r="Q29" s="317">
        <f t="shared" si="20"/>
        <v>975</v>
      </c>
      <c r="R29" s="318">
        <v>975</v>
      </c>
      <c r="S29" s="317"/>
      <c r="T29" s="317">
        <f t="shared" si="27"/>
        <v>10</v>
      </c>
      <c r="U29" s="317">
        <f t="shared" si="21"/>
        <v>0</v>
      </c>
      <c r="V29" s="317"/>
      <c r="W29" s="317"/>
      <c r="X29" s="317">
        <f t="shared" si="22"/>
        <v>10</v>
      </c>
      <c r="Y29" s="318">
        <v>10</v>
      </c>
      <c r="Z29" s="317"/>
    </row>
    <row r="30" spans="1:26" s="315" customFormat="1" ht="21" customHeight="1">
      <c r="A30" s="323">
        <v>4</v>
      </c>
      <c r="B30" s="324" t="s">
        <v>288</v>
      </c>
      <c r="C30" s="317">
        <f t="shared" si="16"/>
        <v>4075</v>
      </c>
      <c r="D30" s="317">
        <f t="shared" si="23"/>
        <v>0</v>
      </c>
      <c r="E30" s="317">
        <f t="shared" si="24"/>
        <v>4075</v>
      </c>
      <c r="F30" s="317">
        <f t="shared" si="25"/>
        <v>590</v>
      </c>
      <c r="G30" s="317">
        <f t="shared" si="17"/>
        <v>0</v>
      </c>
      <c r="H30" s="317"/>
      <c r="I30" s="317"/>
      <c r="J30" s="317">
        <f t="shared" si="18"/>
        <v>590</v>
      </c>
      <c r="K30" s="318">
        <v>590</v>
      </c>
      <c r="L30" s="317"/>
      <c r="M30" s="317">
        <f t="shared" si="26"/>
        <v>3175</v>
      </c>
      <c r="N30" s="317">
        <f t="shared" si="19"/>
        <v>0</v>
      </c>
      <c r="O30" s="317"/>
      <c r="P30" s="317"/>
      <c r="Q30" s="317">
        <f t="shared" si="20"/>
        <v>3175</v>
      </c>
      <c r="R30" s="318">
        <v>3175</v>
      </c>
      <c r="S30" s="317"/>
      <c r="T30" s="317">
        <f t="shared" si="27"/>
        <v>310</v>
      </c>
      <c r="U30" s="317">
        <f t="shared" si="21"/>
        <v>0</v>
      </c>
      <c r="V30" s="317"/>
      <c r="W30" s="317"/>
      <c r="X30" s="317">
        <f t="shared" si="22"/>
        <v>310</v>
      </c>
      <c r="Y30" s="318">
        <v>310</v>
      </c>
      <c r="Z30" s="317"/>
    </row>
    <row r="31" spans="1:26" s="315" customFormat="1" ht="21" customHeight="1">
      <c r="A31" s="323">
        <v>5</v>
      </c>
      <c r="B31" s="324" t="s">
        <v>289</v>
      </c>
      <c r="C31" s="317">
        <f t="shared" si="16"/>
        <v>1360</v>
      </c>
      <c r="D31" s="317">
        <f t="shared" si="23"/>
        <v>0</v>
      </c>
      <c r="E31" s="317">
        <f t="shared" si="24"/>
        <v>1360</v>
      </c>
      <c r="F31" s="317">
        <f t="shared" si="25"/>
        <v>650</v>
      </c>
      <c r="G31" s="317">
        <f t="shared" si="17"/>
        <v>0</v>
      </c>
      <c r="H31" s="317"/>
      <c r="I31" s="317"/>
      <c r="J31" s="317">
        <f t="shared" si="18"/>
        <v>650</v>
      </c>
      <c r="K31" s="318">
        <v>650</v>
      </c>
      <c r="L31" s="317"/>
      <c r="M31" s="317">
        <f t="shared" si="26"/>
        <v>685</v>
      </c>
      <c r="N31" s="317">
        <f t="shared" si="19"/>
        <v>0</v>
      </c>
      <c r="O31" s="317"/>
      <c r="P31" s="317"/>
      <c r="Q31" s="317">
        <f t="shared" si="20"/>
        <v>685</v>
      </c>
      <c r="R31" s="318">
        <v>685</v>
      </c>
      <c r="S31" s="317"/>
      <c r="T31" s="317">
        <f t="shared" si="27"/>
        <v>25</v>
      </c>
      <c r="U31" s="317">
        <f t="shared" si="21"/>
        <v>0</v>
      </c>
      <c r="V31" s="317"/>
      <c r="W31" s="317"/>
      <c r="X31" s="317">
        <f t="shared" si="22"/>
        <v>25</v>
      </c>
      <c r="Y31" s="318">
        <v>25</v>
      </c>
      <c r="Z31" s="317"/>
    </row>
    <row r="32" spans="1:26" s="315" customFormat="1" ht="21" customHeight="1">
      <c r="A32" s="323">
        <v>6</v>
      </c>
      <c r="B32" s="324" t="s">
        <v>205</v>
      </c>
      <c r="C32" s="317">
        <f t="shared" si="16"/>
        <v>110</v>
      </c>
      <c r="D32" s="317">
        <f t="shared" si="23"/>
        <v>0</v>
      </c>
      <c r="E32" s="317">
        <f t="shared" si="24"/>
        <v>110</v>
      </c>
      <c r="F32" s="317">
        <f t="shared" si="25"/>
        <v>0</v>
      </c>
      <c r="G32" s="317">
        <f t="shared" si="17"/>
        <v>0</v>
      </c>
      <c r="H32" s="317"/>
      <c r="I32" s="317"/>
      <c r="J32" s="317">
        <f t="shared" si="18"/>
        <v>0</v>
      </c>
      <c r="K32" s="318"/>
      <c r="L32" s="317"/>
      <c r="M32" s="317">
        <f t="shared" si="26"/>
        <v>110</v>
      </c>
      <c r="N32" s="317">
        <f t="shared" si="19"/>
        <v>0</v>
      </c>
      <c r="O32" s="317"/>
      <c r="P32" s="317"/>
      <c r="Q32" s="317">
        <f t="shared" si="20"/>
        <v>110</v>
      </c>
      <c r="R32" s="318">
        <v>110</v>
      </c>
      <c r="S32" s="317"/>
      <c r="T32" s="317">
        <f t="shared" si="27"/>
        <v>0</v>
      </c>
      <c r="U32" s="317">
        <f t="shared" si="21"/>
        <v>0</v>
      </c>
      <c r="V32" s="317"/>
      <c r="W32" s="317"/>
      <c r="X32" s="317">
        <f t="shared" si="22"/>
        <v>0</v>
      </c>
      <c r="Y32" s="318"/>
      <c r="Z32" s="317"/>
    </row>
    <row r="33" spans="1:26" s="315" customFormat="1" ht="21" customHeight="1">
      <c r="A33" s="323">
        <v>7</v>
      </c>
      <c r="B33" s="324" t="s">
        <v>290</v>
      </c>
      <c r="C33" s="317">
        <f t="shared" si="16"/>
        <v>1842</v>
      </c>
      <c r="D33" s="317">
        <f t="shared" si="23"/>
        <v>0</v>
      </c>
      <c r="E33" s="317">
        <f t="shared" si="24"/>
        <v>1842</v>
      </c>
      <c r="F33" s="317">
        <f t="shared" si="25"/>
        <v>651</v>
      </c>
      <c r="G33" s="317">
        <f t="shared" si="17"/>
        <v>0</v>
      </c>
      <c r="H33" s="317"/>
      <c r="I33" s="317"/>
      <c r="J33" s="317">
        <f t="shared" si="18"/>
        <v>651</v>
      </c>
      <c r="K33" s="318">
        <v>651</v>
      </c>
      <c r="L33" s="317"/>
      <c r="M33" s="317">
        <f t="shared" si="26"/>
        <v>1165</v>
      </c>
      <c r="N33" s="317">
        <f t="shared" si="19"/>
        <v>0</v>
      </c>
      <c r="O33" s="317"/>
      <c r="P33" s="317"/>
      <c r="Q33" s="317">
        <f t="shared" si="20"/>
        <v>1165</v>
      </c>
      <c r="R33" s="318">
        <v>1165</v>
      </c>
      <c r="S33" s="317"/>
      <c r="T33" s="317">
        <f t="shared" si="27"/>
        <v>26</v>
      </c>
      <c r="U33" s="317">
        <f t="shared" si="21"/>
        <v>0</v>
      </c>
      <c r="V33" s="317"/>
      <c r="W33" s="317"/>
      <c r="X33" s="317">
        <f t="shared" si="22"/>
        <v>26</v>
      </c>
      <c r="Y33" s="318">
        <v>26</v>
      </c>
      <c r="Z33" s="317"/>
    </row>
    <row r="34" spans="1:26" s="315" customFormat="1" ht="21" customHeight="1">
      <c r="A34" s="323">
        <v>8</v>
      </c>
      <c r="B34" s="324" t="s">
        <v>291</v>
      </c>
      <c r="C34" s="317">
        <f t="shared" si="16"/>
        <v>1479</v>
      </c>
      <c r="D34" s="317">
        <f t="shared" si="23"/>
        <v>0</v>
      </c>
      <c r="E34" s="317">
        <f t="shared" si="24"/>
        <v>1479</v>
      </c>
      <c r="F34" s="317">
        <f t="shared" si="25"/>
        <v>696</v>
      </c>
      <c r="G34" s="317">
        <f t="shared" si="17"/>
        <v>0</v>
      </c>
      <c r="H34" s="317"/>
      <c r="I34" s="317"/>
      <c r="J34" s="317">
        <f t="shared" si="18"/>
        <v>696</v>
      </c>
      <c r="K34" s="318">
        <v>696</v>
      </c>
      <c r="L34" s="317"/>
      <c r="M34" s="317">
        <f t="shared" si="26"/>
        <v>725</v>
      </c>
      <c r="N34" s="317">
        <f t="shared" si="19"/>
        <v>0</v>
      </c>
      <c r="O34" s="317"/>
      <c r="P34" s="317"/>
      <c r="Q34" s="317">
        <f t="shared" si="20"/>
        <v>725</v>
      </c>
      <c r="R34" s="318">
        <v>725</v>
      </c>
      <c r="S34" s="317"/>
      <c r="T34" s="317">
        <f t="shared" si="27"/>
        <v>58</v>
      </c>
      <c r="U34" s="317">
        <f t="shared" si="21"/>
        <v>0</v>
      </c>
      <c r="V34" s="317"/>
      <c r="W34" s="317"/>
      <c r="X34" s="317">
        <f t="shared" si="22"/>
        <v>58</v>
      </c>
      <c r="Y34" s="318">
        <v>58</v>
      </c>
      <c r="Z34" s="317"/>
    </row>
    <row r="35" spans="1:26" s="315" customFormat="1" ht="21" customHeight="1">
      <c r="A35" s="323">
        <v>9</v>
      </c>
      <c r="B35" s="324" t="s">
        <v>292</v>
      </c>
      <c r="C35" s="317">
        <f t="shared" si="16"/>
        <v>1830</v>
      </c>
      <c r="D35" s="317">
        <f t="shared" si="23"/>
        <v>0</v>
      </c>
      <c r="E35" s="317">
        <f t="shared" si="24"/>
        <v>1830</v>
      </c>
      <c r="F35" s="317">
        <f t="shared" si="25"/>
        <v>614</v>
      </c>
      <c r="G35" s="317">
        <f t="shared" si="17"/>
        <v>0</v>
      </c>
      <c r="H35" s="317"/>
      <c r="I35" s="317"/>
      <c r="J35" s="317">
        <f t="shared" si="18"/>
        <v>614</v>
      </c>
      <c r="K35" s="318">
        <v>614</v>
      </c>
      <c r="L35" s="317"/>
      <c r="M35" s="317">
        <f t="shared" si="26"/>
        <v>1174</v>
      </c>
      <c r="N35" s="317">
        <f t="shared" si="19"/>
        <v>0</v>
      </c>
      <c r="O35" s="317"/>
      <c r="P35" s="317"/>
      <c r="Q35" s="317">
        <f t="shared" si="20"/>
        <v>1174</v>
      </c>
      <c r="R35" s="318">
        <v>1174</v>
      </c>
      <c r="S35" s="317"/>
      <c r="T35" s="317">
        <f t="shared" si="27"/>
        <v>42</v>
      </c>
      <c r="U35" s="317">
        <f t="shared" si="21"/>
        <v>0</v>
      </c>
      <c r="V35" s="317"/>
      <c r="W35" s="317"/>
      <c r="X35" s="317">
        <f t="shared" si="22"/>
        <v>42</v>
      </c>
      <c r="Y35" s="318">
        <v>42</v>
      </c>
      <c r="Z35" s="317"/>
    </row>
    <row r="36" spans="1:26" s="315" customFormat="1" ht="21" customHeight="1">
      <c r="A36" s="323">
        <v>10</v>
      </c>
      <c r="B36" s="324" t="s">
        <v>293</v>
      </c>
      <c r="C36" s="317">
        <f t="shared" si="16"/>
        <v>1705</v>
      </c>
      <c r="D36" s="317">
        <f t="shared" si="23"/>
        <v>0</v>
      </c>
      <c r="E36" s="317">
        <f t="shared" si="24"/>
        <v>1705</v>
      </c>
      <c r="F36" s="317">
        <f t="shared" si="25"/>
        <v>623</v>
      </c>
      <c r="G36" s="317">
        <f t="shared" si="17"/>
        <v>0</v>
      </c>
      <c r="H36" s="317"/>
      <c r="I36" s="317"/>
      <c r="J36" s="317">
        <f t="shared" si="18"/>
        <v>623</v>
      </c>
      <c r="K36" s="318">
        <v>623</v>
      </c>
      <c r="L36" s="317"/>
      <c r="M36" s="317">
        <f t="shared" si="26"/>
        <v>1040</v>
      </c>
      <c r="N36" s="317">
        <f t="shared" si="19"/>
        <v>0</v>
      </c>
      <c r="O36" s="317"/>
      <c r="P36" s="317"/>
      <c r="Q36" s="317">
        <f t="shared" si="20"/>
        <v>1040</v>
      </c>
      <c r="R36" s="318">
        <v>1040</v>
      </c>
      <c r="S36" s="317"/>
      <c r="T36" s="317">
        <f t="shared" si="27"/>
        <v>42</v>
      </c>
      <c r="U36" s="317">
        <f t="shared" si="21"/>
        <v>0</v>
      </c>
      <c r="V36" s="317"/>
      <c r="W36" s="317"/>
      <c r="X36" s="317">
        <f t="shared" si="22"/>
        <v>42</v>
      </c>
      <c r="Y36" s="318">
        <v>42</v>
      </c>
      <c r="Z36" s="317"/>
    </row>
    <row r="37" spans="1:26" s="315" customFormat="1" ht="21" customHeight="1">
      <c r="A37" s="323">
        <v>11</v>
      </c>
      <c r="B37" s="324" t="s">
        <v>294</v>
      </c>
      <c r="C37" s="317">
        <f t="shared" si="16"/>
        <v>1443</v>
      </c>
      <c r="D37" s="317">
        <f t="shared" si="23"/>
        <v>0</v>
      </c>
      <c r="E37" s="317">
        <f t="shared" si="24"/>
        <v>1443</v>
      </c>
      <c r="F37" s="317">
        <f t="shared" si="25"/>
        <v>668</v>
      </c>
      <c r="G37" s="317">
        <f t="shared" si="17"/>
        <v>0</v>
      </c>
      <c r="H37" s="317"/>
      <c r="I37" s="317"/>
      <c r="J37" s="317">
        <f t="shared" si="18"/>
        <v>668</v>
      </c>
      <c r="K37" s="318">
        <v>668</v>
      </c>
      <c r="L37" s="317"/>
      <c r="M37" s="317">
        <f t="shared" si="26"/>
        <v>765</v>
      </c>
      <c r="N37" s="317">
        <f t="shared" si="19"/>
        <v>0</v>
      </c>
      <c r="O37" s="317"/>
      <c r="P37" s="317"/>
      <c r="Q37" s="317">
        <f t="shared" si="20"/>
        <v>765</v>
      </c>
      <c r="R37" s="318">
        <v>765</v>
      </c>
      <c r="S37" s="317"/>
      <c r="T37" s="317">
        <f t="shared" si="27"/>
        <v>10</v>
      </c>
      <c r="U37" s="317">
        <f t="shared" si="21"/>
        <v>0</v>
      </c>
      <c r="V37" s="317"/>
      <c r="W37" s="317"/>
      <c r="X37" s="317">
        <f t="shared" si="22"/>
        <v>10</v>
      </c>
      <c r="Y37" s="318">
        <v>10</v>
      </c>
      <c r="Z37" s="317"/>
    </row>
    <row r="38" spans="1:26" s="315" customFormat="1" ht="21" customHeight="1">
      <c r="A38" s="323">
        <v>12</v>
      </c>
      <c r="B38" s="324" t="s">
        <v>295</v>
      </c>
      <c r="C38" s="317">
        <f t="shared" si="16"/>
        <v>1459</v>
      </c>
      <c r="D38" s="317">
        <f t="shared" si="23"/>
        <v>0</v>
      </c>
      <c r="E38" s="317">
        <f t="shared" si="24"/>
        <v>1459</v>
      </c>
      <c r="F38" s="317">
        <f t="shared" si="25"/>
        <v>689</v>
      </c>
      <c r="G38" s="317">
        <f t="shared" si="17"/>
        <v>0</v>
      </c>
      <c r="H38" s="317"/>
      <c r="I38" s="317"/>
      <c r="J38" s="317">
        <f t="shared" si="18"/>
        <v>689</v>
      </c>
      <c r="K38" s="318">
        <v>689</v>
      </c>
      <c r="L38" s="317"/>
      <c r="M38" s="317">
        <f t="shared" si="26"/>
        <v>760</v>
      </c>
      <c r="N38" s="317">
        <f t="shared" si="19"/>
        <v>0</v>
      </c>
      <c r="O38" s="317"/>
      <c r="P38" s="317"/>
      <c r="Q38" s="317">
        <f t="shared" si="20"/>
        <v>760</v>
      </c>
      <c r="R38" s="318">
        <v>760</v>
      </c>
      <c r="S38" s="317"/>
      <c r="T38" s="317">
        <f t="shared" si="27"/>
        <v>10</v>
      </c>
      <c r="U38" s="317">
        <f t="shared" si="21"/>
        <v>0</v>
      </c>
      <c r="V38" s="317"/>
      <c r="W38" s="317"/>
      <c r="X38" s="317">
        <f t="shared" si="22"/>
        <v>10</v>
      </c>
      <c r="Y38" s="318">
        <v>10</v>
      </c>
      <c r="Z38" s="317"/>
    </row>
    <row r="39" spans="1:26" s="315" customFormat="1" ht="21" customHeight="1">
      <c r="A39" s="323">
        <v>13</v>
      </c>
      <c r="B39" s="324" t="s">
        <v>296</v>
      </c>
      <c r="C39" s="317">
        <f t="shared" si="16"/>
        <v>1090</v>
      </c>
      <c r="D39" s="317">
        <f t="shared" si="23"/>
        <v>0</v>
      </c>
      <c r="E39" s="317">
        <f t="shared" si="24"/>
        <v>1090</v>
      </c>
      <c r="F39" s="317">
        <f t="shared" si="25"/>
        <v>700</v>
      </c>
      <c r="G39" s="317">
        <f t="shared" si="17"/>
        <v>0</v>
      </c>
      <c r="H39" s="317"/>
      <c r="I39" s="317"/>
      <c r="J39" s="317">
        <f t="shared" si="18"/>
        <v>700</v>
      </c>
      <c r="K39" s="318">
        <v>700</v>
      </c>
      <c r="L39" s="317"/>
      <c r="M39" s="317">
        <f t="shared" si="26"/>
        <v>365</v>
      </c>
      <c r="N39" s="317">
        <f t="shared" si="19"/>
        <v>0</v>
      </c>
      <c r="O39" s="317"/>
      <c r="P39" s="317"/>
      <c r="Q39" s="317">
        <f t="shared" si="20"/>
        <v>365</v>
      </c>
      <c r="R39" s="318">
        <v>365</v>
      </c>
      <c r="S39" s="317"/>
      <c r="T39" s="317">
        <f t="shared" si="27"/>
        <v>25</v>
      </c>
      <c r="U39" s="317">
        <f t="shared" si="21"/>
        <v>0</v>
      </c>
      <c r="V39" s="317"/>
      <c r="W39" s="317"/>
      <c r="X39" s="317">
        <f t="shared" si="22"/>
        <v>25</v>
      </c>
      <c r="Y39" s="318">
        <v>25</v>
      </c>
      <c r="Z39" s="317"/>
    </row>
    <row r="40" spans="1:26" s="315" customFormat="1" ht="21" customHeight="1">
      <c r="A40" s="323">
        <v>14</v>
      </c>
      <c r="B40" s="324" t="s">
        <v>297</v>
      </c>
      <c r="C40" s="317">
        <f t="shared" si="16"/>
        <v>1775</v>
      </c>
      <c r="D40" s="317">
        <f t="shared" si="23"/>
        <v>0</v>
      </c>
      <c r="E40" s="317">
        <f t="shared" si="24"/>
        <v>1775</v>
      </c>
      <c r="F40" s="317">
        <f t="shared" si="25"/>
        <v>711</v>
      </c>
      <c r="G40" s="317">
        <f t="shared" si="17"/>
        <v>0</v>
      </c>
      <c r="H40" s="317"/>
      <c r="I40" s="317"/>
      <c r="J40" s="317">
        <f t="shared" si="18"/>
        <v>711</v>
      </c>
      <c r="K40" s="318">
        <v>711</v>
      </c>
      <c r="L40" s="317"/>
      <c r="M40" s="317">
        <f t="shared" si="26"/>
        <v>1039</v>
      </c>
      <c r="N40" s="317">
        <f t="shared" si="19"/>
        <v>0</v>
      </c>
      <c r="O40" s="317"/>
      <c r="P40" s="317"/>
      <c r="Q40" s="317">
        <f t="shared" si="20"/>
        <v>1039</v>
      </c>
      <c r="R40" s="318">
        <v>1039</v>
      </c>
      <c r="S40" s="317"/>
      <c r="T40" s="317">
        <f t="shared" si="27"/>
        <v>25</v>
      </c>
      <c r="U40" s="317">
        <f t="shared" si="21"/>
        <v>0</v>
      </c>
      <c r="V40" s="317"/>
      <c r="W40" s="317"/>
      <c r="X40" s="317">
        <f t="shared" si="22"/>
        <v>25</v>
      </c>
      <c r="Y40" s="318">
        <v>25</v>
      </c>
      <c r="Z40" s="317"/>
    </row>
    <row r="41" spans="1:26" s="315" customFormat="1" ht="21" customHeight="1">
      <c r="A41" s="323">
        <v>15</v>
      </c>
      <c r="B41" s="324" t="s">
        <v>298</v>
      </c>
      <c r="C41" s="317">
        <f t="shared" si="16"/>
        <v>1464</v>
      </c>
      <c r="D41" s="317">
        <f t="shared" si="23"/>
        <v>0</v>
      </c>
      <c r="E41" s="317">
        <f t="shared" si="24"/>
        <v>1464</v>
      </c>
      <c r="F41" s="317">
        <f t="shared" si="25"/>
        <v>726</v>
      </c>
      <c r="G41" s="317">
        <f t="shared" si="17"/>
        <v>0</v>
      </c>
      <c r="H41" s="317"/>
      <c r="I41" s="317"/>
      <c r="J41" s="317">
        <f t="shared" si="18"/>
        <v>726</v>
      </c>
      <c r="K41" s="318">
        <v>726</v>
      </c>
      <c r="L41" s="317"/>
      <c r="M41" s="317">
        <f t="shared" si="26"/>
        <v>680</v>
      </c>
      <c r="N41" s="317">
        <f t="shared" si="19"/>
        <v>0</v>
      </c>
      <c r="O41" s="317"/>
      <c r="P41" s="317"/>
      <c r="Q41" s="317">
        <f t="shared" si="20"/>
        <v>680</v>
      </c>
      <c r="R41" s="318">
        <v>680</v>
      </c>
      <c r="S41" s="317"/>
      <c r="T41" s="317">
        <f t="shared" si="27"/>
        <v>58</v>
      </c>
      <c r="U41" s="317">
        <f t="shared" si="21"/>
        <v>0</v>
      </c>
      <c r="V41" s="317"/>
      <c r="W41" s="317"/>
      <c r="X41" s="317">
        <f t="shared" si="22"/>
        <v>58</v>
      </c>
      <c r="Y41" s="318">
        <v>58</v>
      </c>
      <c r="Z41" s="317"/>
    </row>
    <row r="42" spans="1:26" s="315" customFormat="1" ht="21" customHeight="1">
      <c r="A42" s="323">
        <v>16</v>
      </c>
      <c r="B42" s="324" t="s">
        <v>299</v>
      </c>
      <c r="C42" s="317">
        <f t="shared" si="16"/>
        <v>1125</v>
      </c>
      <c r="D42" s="317">
        <f t="shared" si="23"/>
        <v>0</v>
      </c>
      <c r="E42" s="317">
        <f t="shared" si="24"/>
        <v>1125</v>
      </c>
      <c r="F42" s="317">
        <f t="shared" si="25"/>
        <v>688</v>
      </c>
      <c r="G42" s="317">
        <f t="shared" si="17"/>
        <v>0</v>
      </c>
      <c r="H42" s="317"/>
      <c r="I42" s="317"/>
      <c r="J42" s="317">
        <f t="shared" si="18"/>
        <v>688</v>
      </c>
      <c r="K42" s="318">
        <v>688</v>
      </c>
      <c r="L42" s="317"/>
      <c r="M42" s="317">
        <f t="shared" si="26"/>
        <v>363</v>
      </c>
      <c r="N42" s="317">
        <f t="shared" si="19"/>
        <v>0</v>
      </c>
      <c r="O42" s="317"/>
      <c r="P42" s="317"/>
      <c r="Q42" s="317">
        <f t="shared" si="20"/>
        <v>363</v>
      </c>
      <c r="R42" s="318">
        <v>363</v>
      </c>
      <c r="S42" s="317"/>
      <c r="T42" s="317">
        <f t="shared" si="27"/>
        <v>74</v>
      </c>
      <c r="U42" s="317">
        <f t="shared" si="21"/>
        <v>0</v>
      </c>
      <c r="V42" s="317"/>
      <c r="W42" s="317"/>
      <c r="X42" s="317">
        <f t="shared" si="22"/>
        <v>74</v>
      </c>
      <c r="Y42" s="318">
        <v>74</v>
      </c>
      <c r="Z42" s="317"/>
    </row>
    <row r="43" spans="1:26" s="315" customFormat="1" ht="21" customHeight="1">
      <c r="A43" s="323">
        <v>17</v>
      </c>
      <c r="B43" s="324" t="s">
        <v>300</v>
      </c>
      <c r="C43" s="317">
        <f t="shared" si="16"/>
        <v>1197</v>
      </c>
      <c r="D43" s="317">
        <f t="shared" si="23"/>
        <v>0</v>
      </c>
      <c r="E43" s="317">
        <f t="shared" si="24"/>
        <v>1197</v>
      </c>
      <c r="F43" s="317">
        <f t="shared" si="25"/>
        <v>627</v>
      </c>
      <c r="G43" s="317">
        <f t="shared" si="17"/>
        <v>0</v>
      </c>
      <c r="H43" s="317"/>
      <c r="I43" s="317"/>
      <c r="J43" s="317">
        <f t="shared" si="18"/>
        <v>627</v>
      </c>
      <c r="K43" s="318">
        <v>627</v>
      </c>
      <c r="L43" s="317"/>
      <c r="M43" s="317">
        <f t="shared" si="26"/>
        <v>560</v>
      </c>
      <c r="N43" s="317">
        <f t="shared" si="19"/>
        <v>0</v>
      </c>
      <c r="O43" s="317"/>
      <c r="P43" s="317"/>
      <c r="Q43" s="317">
        <f t="shared" si="20"/>
        <v>560</v>
      </c>
      <c r="R43" s="318">
        <v>560</v>
      </c>
      <c r="S43" s="317"/>
      <c r="T43" s="317">
        <f t="shared" si="27"/>
        <v>10</v>
      </c>
      <c r="U43" s="317">
        <f t="shared" si="21"/>
        <v>0</v>
      </c>
      <c r="V43" s="317"/>
      <c r="W43" s="317"/>
      <c r="X43" s="317">
        <f t="shared" si="22"/>
        <v>10</v>
      </c>
      <c r="Y43" s="318">
        <v>10</v>
      </c>
      <c r="Z43" s="317"/>
    </row>
    <row r="44" spans="1:26" s="315" customFormat="1" ht="21" customHeight="1">
      <c r="A44" s="323">
        <v>18</v>
      </c>
      <c r="B44" s="324" t="s">
        <v>301</v>
      </c>
      <c r="C44" s="317">
        <f>D44+E44</f>
        <v>2874</v>
      </c>
      <c r="D44" s="317">
        <f t="shared" si="23"/>
        <v>0</v>
      </c>
      <c r="E44" s="317">
        <f t="shared" si="24"/>
        <v>2874</v>
      </c>
      <c r="F44" s="317">
        <f t="shared" si="25"/>
        <v>589</v>
      </c>
      <c r="G44" s="317">
        <f t="shared" si="17"/>
        <v>0</v>
      </c>
      <c r="H44" s="317"/>
      <c r="I44" s="317"/>
      <c r="J44" s="317">
        <f t="shared" si="18"/>
        <v>589</v>
      </c>
      <c r="K44" s="318">
        <v>589</v>
      </c>
      <c r="L44" s="317"/>
      <c r="M44" s="317">
        <f t="shared" si="26"/>
        <v>1975</v>
      </c>
      <c r="N44" s="317">
        <f t="shared" si="19"/>
        <v>0</v>
      </c>
      <c r="O44" s="317"/>
      <c r="P44" s="317"/>
      <c r="Q44" s="317">
        <f t="shared" si="20"/>
        <v>1975</v>
      </c>
      <c r="R44" s="318">
        <v>1975</v>
      </c>
      <c r="S44" s="317"/>
      <c r="T44" s="317">
        <f t="shared" si="27"/>
        <v>310</v>
      </c>
      <c r="U44" s="317">
        <f t="shared" si="21"/>
        <v>0</v>
      </c>
      <c r="V44" s="317"/>
      <c r="W44" s="317"/>
      <c r="X44" s="317">
        <f t="shared" si="22"/>
        <v>310</v>
      </c>
      <c r="Y44" s="318">
        <v>310</v>
      </c>
      <c r="Z44" s="317"/>
    </row>
    <row r="45" spans="1:26" s="315" customFormat="1" ht="21" customHeight="1" thickBot="1">
      <c r="A45" s="323">
        <v>19</v>
      </c>
      <c r="B45" s="325" t="s">
        <v>302</v>
      </c>
      <c r="C45" s="326">
        <f t="shared" si="16"/>
        <v>1566</v>
      </c>
      <c r="D45" s="326">
        <f t="shared" si="23"/>
        <v>0</v>
      </c>
      <c r="E45" s="326">
        <f t="shared" si="24"/>
        <v>1566</v>
      </c>
      <c r="F45" s="326">
        <f t="shared" si="25"/>
        <v>597</v>
      </c>
      <c r="G45" s="326">
        <f t="shared" si="17"/>
        <v>0</v>
      </c>
      <c r="H45" s="326"/>
      <c r="I45" s="326"/>
      <c r="J45" s="326">
        <f t="shared" si="18"/>
        <v>597</v>
      </c>
      <c r="K45" s="327">
        <v>597</v>
      </c>
      <c r="L45" s="326"/>
      <c r="M45" s="326">
        <f t="shared" si="26"/>
        <v>959</v>
      </c>
      <c r="N45" s="326">
        <f t="shared" si="19"/>
        <v>0</v>
      </c>
      <c r="O45" s="326"/>
      <c r="P45" s="326"/>
      <c r="Q45" s="326">
        <f t="shared" si="20"/>
        <v>959</v>
      </c>
      <c r="R45" s="327">
        <v>959</v>
      </c>
      <c r="S45" s="326"/>
      <c r="T45" s="326">
        <f t="shared" si="27"/>
        <v>10</v>
      </c>
      <c r="U45" s="326">
        <f t="shared" si="21"/>
        <v>0</v>
      </c>
      <c r="V45" s="326"/>
      <c r="W45" s="326"/>
      <c r="X45" s="326">
        <f t="shared" si="22"/>
        <v>10</v>
      </c>
      <c r="Y45" s="327">
        <v>10</v>
      </c>
      <c r="Z45" s="326"/>
    </row>
    <row r="46" spans="1:26" ht="22.5" customHeight="1" thickTop="1">
      <c r="A46" s="5"/>
      <c r="B46" s="328"/>
      <c r="C46" s="5"/>
      <c r="D46" s="5"/>
      <c r="E46" s="5"/>
      <c r="F46" s="5"/>
      <c r="G46" s="5"/>
      <c r="H46" s="5"/>
      <c r="I46" s="5"/>
      <c r="J46" s="5"/>
      <c r="K46" s="5"/>
      <c r="L46" s="5"/>
      <c r="M46" s="5"/>
      <c r="N46" s="5"/>
      <c r="O46" s="5"/>
      <c r="P46" s="5"/>
      <c r="Q46" s="5"/>
      <c r="R46" s="5"/>
      <c r="S46" s="5"/>
      <c r="T46" s="5"/>
      <c r="U46" s="5"/>
      <c r="V46" s="5"/>
      <c r="W46" s="5"/>
      <c r="X46" s="5"/>
      <c r="Y46" s="5"/>
      <c r="Z46" s="5"/>
    </row>
    <row r="47" spans="1:26" ht="18.75">
      <c r="A47" s="5"/>
      <c r="B47" s="328"/>
      <c r="C47" s="5"/>
      <c r="D47" s="5"/>
      <c r="E47" s="5"/>
      <c r="F47" s="5"/>
      <c r="G47" s="5"/>
      <c r="H47" s="5"/>
      <c r="I47" s="5"/>
      <c r="J47" s="5"/>
      <c r="K47" s="5"/>
      <c r="L47" s="5"/>
      <c r="M47" s="5"/>
      <c r="N47" s="5"/>
      <c r="O47" s="5"/>
      <c r="P47" s="5"/>
      <c r="Q47" s="5"/>
      <c r="R47" s="5"/>
      <c r="S47" s="5"/>
      <c r="T47" s="5"/>
      <c r="U47" s="5"/>
      <c r="V47" s="5"/>
      <c r="W47" s="5"/>
      <c r="X47" s="5"/>
      <c r="Y47" s="5"/>
      <c r="Z47" s="5"/>
    </row>
    <row r="48" spans="1:26" ht="18.75">
      <c r="A48" s="5"/>
      <c r="B48" s="328"/>
      <c r="C48" s="5"/>
      <c r="D48" s="5"/>
      <c r="E48" s="5"/>
      <c r="F48" s="5"/>
      <c r="G48" s="5"/>
      <c r="H48" s="5"/>
      <c r="I48" s="5"/>
      <c r="J48" s="5"/>
      <c r="K48" s="5"/>
      <c r="L48" s="5"/>
      <c r="M48" s="5"/>
      <c r="N48" s="5"/>
      <c r="O48" s="5"/>
      <c r="P48" s="5"/>
      <c r="Q48" s="5"/>
      <c r="R48" s="5"/>
      <c r="S48" s="5"/>
      <c r="T48" s="5"/>
      <c r="U48" s="5"/>
      <c r="V48" s="5"/>
      <c r="W48" s="5"/>
      <c r="X48" s="5"/>
      <c r="Y48" s="5"/>
      <c r="Z48" s="5"/>
    </row>
    <row r="49" spans="1:26" ht="18.75">
      <c r="A49" s="5"/>
      <c r="B49" s="328"/>
      <c r="C49" s="5"/>
      <c r="D49" s="5"/>
      <c r="E49" s="5"/>
      <c r="F49" s="5"/>
      <c r="G49" s="5"/>
      <c r="H49" s="5"/>
      <c r="I49" s="5"/>
      <c r="J49" s="5"/>
      <c r="K49" s="5"/>
      <c r="L49" s="5"/>
      <c r="M49" s="5"/>
      <c r="N49" s="5"/>
      <c r="O49" s="5"/>
      <c r="P49" s="5"/>
      <c r="Q49" s="5"/>
      <c r="R49" s="5"/>
      <c r="S49" s="5"/>
      <c r="T49" s="5"/>
      <c r="U49" s="5"/>
      <c r="V49" s="5"/>
      <c r="W49" s="5"/>
      <c r="X49" s="5"/>
      <c r="Y49" s="5"/>
      <c r="Z49" s="5"/>
    </row>
    <row r="50" spans="1:26" ht="18.75">
      <c r="A50" s="5"/>
      <c r="B50" s="328"/>
      <c r="C50" s="5"/>
      <c r="D50" s="5"/>
      <c r="E50" s="5"/>
      <c r="F50" s="5"/>
      <c r="G50" s="5"/>
      <c r="H50" s="5"/>
      <c r="I50" s="5"/>
      <c r="J50" s="5"/>
      <c r="K50" s="5"/>
      <c r="L50" s="5"/>
      <c r="M50" s="5"/>
      <c r="N50" s="5"/>
      <c r="O50" s="5"/>
      <c r="P50" s="5"/>
      <c r="Q50" s="5"/>
      <c r="R50" s="5"/>
      <c r="S50" s="5"/>
      <c r="T50" s="5"/>
      <c r="U50" s="5"/>
      <c r="V50" s="5"/>
      <c r="W50" s="5"/>
      <c r="X50" s="5"/>
      <c r="Y50" s="5"/>
      <c r="Z50" s="5"/>
    </row>
  </sheetData>
  <sheetProtection/>
  <mergeCells count="41">
    <mergeCell ref="T1:Z1"/>
    <mergeCell ref="R7:S7"/>
    <mergeCell ref="T7:Z7"/>
    <mergeCell ref="X10:X12"/>
    <mergeCell ref="T8:Z8"/>
    <mergeCell ref="R10:R12"/>
    <mergeCell ref="M8:S8"/>
    <mergeCell ref="P10:P12"/>
    <mergeCell ref="Q9:S9"/>
    <mergeCell ref="T9:T12"/>
    <mergeCell ref="G9:I9"/>
    <mergeCell ref="G10:G12"/>
    <mergeCell ref="N9:P9"/>
    <mergeCell ref="W10:W12"/>
    <mergeCell ref="U9:W9"/>
    <mergeCell ref="A4:Z4"/>
    <mergeCell ref="Z10:Z12"/>
    <mergeCell ref="X9:Z9"/>
    <mergeCell ref="Q10:Q12"/>
    <mergeCell ref="S10:S12"/>
    <mergeCell ref="U10:U12"/>
    <mergeCell ref="Y10:Y12"/>
    <mergeCell ref="V10:V12"/>
    <mergeCell ref="O10:O12"/>
    <mergeCell ref="K7:L7"/>
    <mergeCell ref="F8:L8"/>
    <mergeCell ref="L10:L12"/>
    <mergeCell ref="E9:E12"/>
    <mergeCell ref="F9:F12"/>
    <mergeCell ref="H10:H12"/>
    <mergeCell ref="J10:J12"/>
    <mergeCell ref="M9:M12"/>
    <mergeCell ref="N10:N12"/>
    <mergeCell ref="A8:A12"/>
    <mergeCell ref="B8:B12"/>
    <mergeCell ref="C8:C12"/>
    <mergeCell ref="D8:E8"/>
    <mergeCell ref="K10:K12"/>
    <mergeCell ref="I10:I12"/>
    <mergeCell ref="J9:L9"/>
    <mergeCell ref="D9:D12"/>
  </mergeCells>
  <printOptions horizontalCentered="1"/>
  <pageMargins left="0.3" right="0.22" top="0.35" bottom="0.35" header="0.2" footer="0.16"/>
  <pageSetup fitToHeight="0" fitToWidth="1" horizontalDpi="600" verticalDpi="600" orientation="landscape" paperSize="9" scale="62" r:id="rId3"/>
  <headerFooter alignWithMargins="0">
    <oddFooter>&amp;C&amp;".VnTime,Italic"&amp;8
</oddFooter>
  </headerFooter>
  <colBreaks count="1" manualBreakCount="1">
    <brk id="26" max="65535" man="1"/>
  </col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7">
      <selection activeCell="G14" sqref="G14"/>
    </sheetView>
  </sheetViews>
  <sheetFormatPr defaultColWidth="8.796875" defaultRowHeight="15"/>
  <cols>
    <col min="1" max="1" width="8.3984375" style="4" customWidth="1"/>
    <col min="2" max="2" width="19.59765625" style="4" customWidth="1"/>
    <col min="3" max="3" width="9.69921875" style="4" customWidth="1"/>
    <col min="4" max="4" width="12.19921875" style="4" customWidth="1"/>
    <col min="5" max="5" width="11.69921875" style="4" customWidth="1"/>
    <col min="6" max="6" width="10" style="4" customWidth="1"/>
    <col min="7" max="7" width="18.3984375" style="4" customWidth="1"/>
    <col min="8" max="8" width="12.09765625" style="4" customWidth="1"/>
    <col min="9" max="10" width="10" style="4" hidden="1" customWidth="1"/>
    <col min="11" max="11" width="11.59765625" style="4" customWidth="1"/>
    <col min="12" max="12" width="9" style="4" customWidth="1"/>
    <col min="13" max="13" width="10" style="4" bestFit="1" customWidth="1"/>
    <col min="14" max="16384" width="9" style="4" customWidth="1"/>
  </cols>
  <sheetData>
    <row r="1" spans="1:13" ht="21" customHeight="1">
      <c r="A1" s="153"/>
      <c r="B1" s="153"/>
      <c r="C1" s="154"/>
      <c r="D1" s="154"/>
      <c r="E1" s="154"/>
      <c r="F1" s="154"/>
      <c r="G1" s="154"/>
      <c r="H1" s="154"/>
      <c r="I1" s="155"/>
      <c r="J1" s="154"/>
      <c r="K1" s="156" t="s">
        <v>181</v>
      </c>
      <c r="L1" s="155"/>
      <c r="M1" s="155"/>
    </row>
    <row r="2" spans="1:13" s="9" customFormat="1" ht="27" customHeight="1">
      <c r="A2" s="157" t="s">
        <v>130</v>
      </c>
      <c r="B2" s="157"/>
      <c r="C2" s="158"/>
      <c r="D2" s="158"/>
      <c r="E2" s="158"/>
      <c r="F2" s="158"/>
      <c r="G2" s="158"/>
      <c r="H2" s="158"/>
      <c r="I2" s="158"/>
      <c r="J2" s="158"/>
      <c r="K2" s="158"/>
      <c r="L2" s="159"/>
      <c r="M2" s="159"/>
    </row>
    <row r="3" spans="1:13" s="9" customFormat="1" ht="21" customHeight="1">
      <c r="A3" s="452" t="s">
        <v>303</v>
      </c>
      <c r="B3" s="452"/>
      <c r="C3" s="452"/>
      <c r="D3" s="452"/>
      <c r="E3" s="452"/>
      <c r="F3" s="452"/>
      <c r="G3" s="452"/>
      <c r="H3" s="452"/>
      <c r="I3" s="452"/>
      <c r="J3" s="452"/>
      <c r="K3" s="452"/>
      <c r="L3" s="159"/>
      <c r="M3" s="159"/>
    </row>
    <row r="4" spans="1:13" ht="21.75" customHeight="1">
      <c r="A4" s="160" t="str">
        <f>PL15!A3</f>
        <v>(Kèm theo Nghị quyết số       /NQ-HĐND ngày          tháng 12 năm 2023 của HĐND huyện Tuần Giáo)</v>
      </c>
      <c r="B4" s="161"/>
      <c r="C4" s="154"/>
      <c r="D4" s="154"/>
      <c r="E4" s="154"/>
      <c r="F4" s="154"/>
      <c r="G4" s="154"/>
      <c r="H4" s="154"/>
      <c r="I4" s="154"/>
      <c r="J4" s="154"/>
      <c r="K4" s="154"/>
      <c r="L4" s="155"/>
      <c r="M4" s="155"/>
    </row>
    <row r="5" spans="1:13" ht="32.25" customHeight="1">
      <c r="A5" s="162"/>
      <c r="B5" s="162"/>
      <c r="C5" s="163"/>
      <c r="D5" s="163"/>
      <c r="E5" s="163"/>
      <c r="F5" s="163"/>
      <c r="G5" s="163"/>
      <c r="H5" s="163"/>
      <c r="I5" s="163"/>
      <c r="J5" s="163"/>
      <c r="K5" s="164" t="s">
        <v>90</v>
      </c>
      <c r="L5" s="155"/>
      <c r="M5" s="155"/>
    </row>
    <row r="6" spans="1:13" s="5" customFormat="1" ht="22.5" customHeight="1">
      <c r="A6" s="453" t="s">
        <v>60</v>
      </c>
      <c r="B6" s="450" t="s">
        <v>31</v>
      </c>
      <c r="C6" s="444" t="s">
        <v>54</v>
      </c>
      <c r="D6" s="444" t="s">
        <v>55</v>
      </c>
      <c r="E6" s="444" t="s">
        <v>52</v>
      </c>
      <c r="F6" s="444"/>
      <c r="G6" s="444"/>
      <c r="H6" s="444" t="s">
        <v>57</v>
      </c>
      <c r="I6" s="444" t="s">
        <v>78</v>
      </c>
      <c r="J6" s="444" t="s">
        <v>72</v>
      </c>
      <c r="K6" s="444" t="s">
        <v>58</v>
      </c>
      <c r="L6" s="163"/>
      <c r="M6" s="163"/>
    </row>
    <row r="7" spans="1:13" s="5" customFormat="1" ht="22.5" customHeight="1">
      <c r="A7" s="454"/>
      <c r="B7" s="450"/>
      <c r="C7" s="444"/>
      <c r="D7" s="444"/>
      <c r="E7" s="444" t="s">
        <v>56</v>
      </c>
      <c r="F7" s="444" t="s">
        <v>67</v>
      </c>
      <c r="G7" s="451"/>
      <c r="H7" s="444"/>
      <c r="I7" s="444"/>
      <c r="J7" s="444"/>
      <c r="K7" s="444"/>
      <c r="L7" s="163"/>
      <c r="M7" s="163"/>
    </row>
    <row r="8" spans="1:13" s="5" customFormat="1" ht="13.5" customHeight="1">
      <c r="A8" s="454"/>
      <c r="B8" s="450"/>
      <c r="C8" s="444"/>
      <c r="D8" s="444"/>
      <c r="E8" s="444"/>
      <c r="F8" s="444" t="s">
        <v>68</v>
      </c>
      <c r="G8" s="444" t="s">
        <v>128</v>
      </c>
      <c r="H8" s="444"/>
      <c r="I8" s="444"/>
      <c r="J8" s="444"/>
      <c r="K8" s="444"/>
      <c r="L8" s="163"/>
      <c r="M8" s="163"/>
    </row>
    <row r="9" spans="1:13" s="5" customFormat="1" ht="13.5" customHeight="1">
      <c r="A9" s="454"/>
      <c r="B9" s="450"/>
      <c r="C9" s="444"/>
      <c r="D9" s="444"/>
      <c r="E9" s="444"/>
      <c r="F9" s="444"/>
      <c r="G9" s="451"/>
      <c r="H9" s="444"/>
      <c r="I9" s="444"/>
      <c r="J9" s="444"/>
      <c r="K9" s="444"/>
      <c r="L9" s="163"/>
      <c r="M9" s="163"/>
    </row>
    <row r="10" spans="1:13" s="5" customFormat="1" ht="13.5" customHeight="1">
      <c r="A10" s="455"/>
      <c r="B10" s="450"/>
      <c r="C10" s="444"/>
      <c r="D10" s="444"/>
      <c r="E10" s="444"/>
      <c r="F10" s="444"/>
      <c r="G10" s="451"/>
      <c r="H10" s="444"/>
      <c r="I10" s="444"/>
      <c r="J10" s="444"/>
      <c r="K10" s="444"/>
      <c r="L10" s="163"/>
      <c r="M10" s="163"/>
    </row>
    <row r="11" spans="1:13" s="5" customFormat="1" ht="18.75" customHeight="1">
      <c r="A11" s="6" t="s">
        <v>10</v>
      </c>
      <c r="B11" s="6" t="s">
        <v>11</v>
      </c>
      <c r="C11" s="6">
        <v>1</v>
      </c>
      <c r="D11" s="6" t="s">
        <v>129</v>
      </c>
      <c r="E11" s="6">
        <v>3</v>
      </c>
      <c r="F11" s="6">
        <f>E11+1</f>
        <v>4</v>
      </c>
      <c r="G11" s="6">
        <f>F11+1</f>
        <v>5</v>
      </c>
      <c r="H11" s="6">
        <f>G11+1</f>
        <v>6</v>
      </c>
      <c r="I11" s="6"/>
      <c r="J11" s="6"/>
      <c r="K11" s="6" t="s">
        <v>227</v>
      </c>
      <c r="L11" s="163"/>
      <c r="M11" s="163"/>
    </row>
    <row r="12" spans="1:13" s="5" customFormat="1" ht="27.75" customHeight="1">
      <c r="A12" s="165"/>
      <c r="B12" s="166" t="s">
        <v>30</v>
      </c>
      <c r="C12" s="167">
        <f aca="true" t="shared" si="0" ref="C12:J12">SUM(C13:C31)</f>
        <v>3665</v>
      </c>
      <c r="D12" s="167">
        <f t="shared" si="0"/>
        <v>3665</v>
      </c>
      <c r="E12" s="167">
        <f t="shared" si="0"/>
        <v>1145</v>
      </c>
      <c r="F12" s="167">
        <f t="shared" si="0"/>
        <v>14000</v>
      </c>
      <c r="G12" s="167">
        <f t="shared" si="0"/>
        <v>2520</v>
      </c>
      <c r="H12" s="167">
        <f t="shared" si="0"/>
        <v>108925</v>
      </c>
      <c r="I12" s="167">
        <f t="shared" si="0"/>
        <v>0</v>
      </c>
      <c r="J12" s="167">
        <f t="shared" si="0"/>
        <v>0</v>
      </c>
      <c r="K12" s="167">
        <f>SUM(K13:K31)</f>
        <v>112590</v>
      </c>
      <c r="L12" s="168"/>
      <c r="M12" s="169"/>
    </row>
    <row r="13" spans="1:13" s="5" customFormat="1" ht="25.5" customHeight="1">
      <c r="A13" s="170">
        <v>1</v>
      </c>
      <c r="B13" s="171" t="s">
        <v>285</v>
      </c>
      <c r="C13" s="79">
        <v>80</v>
      </c>
      <c r="D13" s="79">
        <v>80</v>
      </c>
      <c r="E13" s="79">
        <v>80</v>
      </c>
      <c r="F13" s="172"/>
      <c r="G13" s="172"/>
      <c r="H13" s="172">
        <v>8154</v>
      </c>
      <c r="I13" s="172"/>
      <c r="J13" s="172"/>
      <c r="K13" s="172">
        <f>D13+H13+I13+J13</f>
        <v>8234</v>
      </c>
      <c r="L13" s="169"/>
      <c r="M13" s="163"/>
    </row>
    <row r="14" spans="1:13" s="5" customFormat="1" ht="25.5" customHeight="1">
      <c r="A14" s="170">
        <v>2</v>
      </c>
      <c r="B14" s="171" t="s">
        <v>286</v>
      </c>
      <c r="C14" s="79">
        <v>18</v>
      </c>
      <c r="D14" s="79">
        <v>18</v>
      </c>
      <c r="E14" s="79">
        <v>18</v>
      </c>
      <c r="F14" s="172"/>
      <c r="G14" s="172"/>
      <c r="H14" s="172">
        <v>5370</v>
      </c>
      <c r="I14" s="172"/>
      <c r="J14" s="172"/>
      <c r="K14" s="172">
        <f>D14+H14+I14+J14</f>
        <v>5388</v>
      </c>
      <c r="L14" s="163"/>
      <c r="M14" s="163"/>
    </row>
    <row r="15" spans="1:13" s="5" customFormat="1" ht="25.5" customHeight="1">
      <c r="A15" s="170">
        <v>3</v>
      </c>
      <c r="B15" s="171" t="s">
        <v>287</v>
      </c>
      <c r="C15" s="79">
        <v>45</v>
      </c>
      <c r="D15" s="79">
        <v>45</v>
      </c>
      <c r="E15" s="79">
        <v>45</v>
      </c>
      <c r="F15" s="172"/>
      <c r="G15" s="172"/>
      <c r="H15" s="172">
        <v>5371</v>
      </c>
      <c r="I15" s="172"/>
      <c r="J15" s="172"/>
      <c r="K15" s="172">
        <f aca="true" t="shared" si="1" ref="K15:K30">D15+H15+I15+J15</f>
        <v>5416</v>
      </c>
      <c r="L15" s="163"/>
      <c r="M15" s="163"/>
    </row>
    <row r="16" spans="1:13" s="5" customFormat="1" ht="25.5" customHeight="1">
      <c r="A16" s="170">
        <v>4</v>
      </c>
      <c r="B16" s="171" t="s">
        <v>288</v>
      </c>
      <c r="C16" s="79">
        <v>50</v>
      </c>
      <c r="D16" s="79">
        <v>50</v>
      </c>
      <c r="E16" s="79">
        <v>50</v>
      </c>
      <c r="F16" s="172"/>
      <c r="G16" s="172"/>
      <c r="H16" s="172">
        <v>7205</v>
      </c>
      <c r="I16" s="172"/>
      <c r="J16" s="172"/>
      <c r="K16" s="172">
        <f t="shared" si="1"/>
        <v>7255</v>
      </c>
      <c r="L16" s="163"/>
      <c r="M16" s="163"/>
    </row>
    <row r="17" spans="1:13" s="5" customFormat="1" ht="25.5" customHeight="1">
      <c r="A17" s="170">
        <v>5</v>
      </c>
      <c r="B17" s="171" t="s">
        <v>289</v>
      </c>
      <c r="C17" s="79">
        <v>35</v>
      </c>
      <c r="D17" s="79">
        <v>35</v>
      </c>
      <c r="E17" s="79">
        <v>35</v>
      </c>
      <c r="F17" s="172"/>
      <c r="G17" s="172"/>
      <c r="H17" s="172">
        <v>5418</v>
      </c>
      <c r="I17" s="172"/>
      <c r="J17" s="172"/>
      <c r="K17" s="172">
        <f t="shared" si="1"/>
        <v>5453</v>
      </c>
      <c r="L17" s="163"/>
      <c r="M17" s="163"/>
    </row>
    <row r="18" spans="1:13" s="5" customFormat="1" ht="25.5" customHeight="1">
      <c r="A18" s="104">
        <v>6</v>
      </c>
      <c r="B18" s="105" t="s">
        <v>205</v>
      </c>
      <c r="C18" s="79">
        <v>3085</v>
      </c>
      <c r="D18" s="79">
        <v>3085</v>
      </c>
      <c r="E18" s="105">
        <v>565</v>
      </c>
      <c r="F18" s="106">
        <v>14000</v>
      </c>
      <c r="G18" s="106">
        <f>F18*18%</f>
        <v>2520</v>
      </c>
      <c r="H18" s="106">
        <v>5897</v>
      </c>
      <c r="I18" s="106"/>
      <c r="J18" s="106"/>
      <c r="K18" s="106">
        <f t="shared" si="1"/>
        <v>8982</v>
      </c>
      <c r="L18" s="163"/>
      <c r="M18" s="163"/>
    </row>
    <row r="19" spans="1:13" s="5" customFormat="1" ht="25.5" customHeight="1">
      <c r="A19" s="170">
        <v>7</v>
      </c>
      <c r="B19" s="171" t="s">
        <v>290</v>
      </c>
      <c r="C19" s="79">
        <v>65</v>
      </c>
      <c r="D19" s="79">
        <v>65</v>
      </c>
      <c r="E19" s="79">
        <v>65</v>
      </c>
      <c r="F19" s="172"/>
      <c r="G19" s="172"/>
      <c r="H19" s="172">
        <v>6223</v>
      </c>
      <c r="I19" s="172"/>
      <c r="J19" s="172"/>
      <c r="K19" s="172">
        <f t="shared" si="1"/>
        <v>6288</v>
      </c>
      <c r="L19" s="163"/>
      <c r="M19" s="163"/>
    </row>
    <row r="20" spans="1:13" s="5" customFormat="1" ht="25.5" customHeight="1">
      <c r="A20" s="170">
        <v>8</v>
      </c>
      <c r="B20" s="171" t="s">
        <v>291</v>
      </c>
      <c r="C20" s="79">
        <v>25</v>
      </c>
      <c r="D20" s="79">
        <v>25</v>
      </c>
      <c r="E20" s="79">
        <v>25</v>
      </c>
      <c r="F20" s="172"/>
      <c r="G20" s="172"/>
      <c r="H20" s="172">
        <v>6016</v>
      </c>
      <c r="I20" s="172"/>
      <c r="J20" s="172"/>
      <c r="K20" s="172">
        <f t="shared" si="1"/>
        <v>6041</v>
      </c>
      <c r="L20" s="163"/>
      <c r="M20" s="163"/>
    </row>
    <row r="21" spans="1:13" s="5" customFormat="1" ht="25.5" customHeight="1">
      <c r="A21" s="170">
        <v>9</v>
      </c>
      <c r="B21" s="171" t="s">
        <v>292</v>
      </c>
      <c r="C21" s="79">
        <v>35</v>
      </c>
      <c r="D21" s="79">
        <v>35</v>
      </c>
      <c r="E21" s="79">
        <v>35</v>
      </c>
      <c r="F21" s="172"/>
      <c r="G21" s="172"/>
      <c r="H21" s="172">
        <v>5989</v>
      </c>
      <c r="I21" s="172"/>
      <c r="J21" s="172"/>
      <c r="K21" s="172">
        <f t="shared" si="1"/>
        <v>6024</v>
      </c>
      <c r="L21" s="163"/>
      <c r="M21" s="163"/>
    </row>
    <row r="22" spans="1:13" s="5" customFormat="1" ht="25.5" customHeight="1">
      <c r="A22" s="170">
        <v>10</v>
      </c>
      <c r="B22" s="171" t="s">
        <v>293</v>
      </c>
      <c r="C22" s="79">
        <v>15</v>
      </c>
      <c r="D22" s="79">
        <v>15</v>
      </c>
      <c r="E22" s="79">
        <v>15</v>
      </c>
      <c r="F22" s="172"/>
      <c r="G22" s="172"/>
      <c r="H22" s="172">
        <v>5229</v>
      </c>
      <c r="I22" s="172"/>
      <c r="J22" s="172"/>
      <c r="K22" s="172">
        <f t="shared" si="1"/>
        <v>5244</v>
      </c>
      <c r="L22" s="163"/>
      <c r="M22" s="163"/>
    </row>
    <row r="23" spans="1:13" s="5" customFormat="1" ht="25.5" customHeight="1">
      <c r="A23" s="170">
        <v>11</v>
      </c>
      <c r="B23" s="171" t="s">
        <v>294</v>
      </c>
      <c r="C23" s="79">
        <v>25</v>
      </c>
      <c r="D23" s="79">
        <v>25</v>
      </c>
      <c r="E23" s="79">
        <v>25</v>
      </c>
      <c r="F23" s="172"/>
      <c r="G23" s="172"/>
      <c r="H23" s="172">
        <v>5118</v>
      </c>
      <c r="I23" s="172"/>
      <c r="J23" s="172"/>
      <c r="K23" s="172">
        <f t="shared" si="1"/>
        <v>5143</v>
      </c>
      <c r="L23" s="163"/>
      <c r="M23" s="163"/>
    </row>
    <row r="24" spans="1:13" s="5" customFormat="1" ht="25.5" customHeight="1">
      <c r="A24" s="170">
        <v>12</v>
      </c>
      <c r="B24" s="171" t="s">
        <v>295</v>
      </c>
      <c r="C24" s="79">
        <v>17</v>
      </c>
      <c r="D24" s="79">
        <v>17</v>
      </c>
      <c r="E24" s="79">
        <v>17</v>
      </c>
      <c r="F24" s="172"/>
      <c r="G24" s="172"/>
      <c r="H24" s="172">
        <v>4862</v>
      </c>
      <c r="I24" s="172"/>
      <c r="J24" s="172"/>
      <c r="K24" s="172">
        <f t="shared" si="1"/>
        <v>4879</v>
      </c>
      <c r="L24" s="163"/>
      <c r="M24" s="163"/>
    </row>
    <row r="25" spans="1:13" s="5" customFormat="1" ht="25.5" customHeight="1">
      <c r="A25" s="170">
        <v>13</v>
      </c>
      <c r="B25" s="171" t="s">
        <v>296</v>
      </c>
      <c r="C25" s="79">
        <v>15</v>
      </c>
      <c r="D25" s="79">
        <v>15</v>
      </c>
      <c r="E25" s="79">
        <v>15</v>
      </c>
      <c r="F25" s="172"/>
      <c r="G25" s="172"/>
      <c r="H25" s="172">
        <v>5177</v>
      </c>
      <c r="I25" s="172"/>
      <c r="J25" s="172"/>
      <c r="K25" s="172">
        <f t="shared" si="1"/>
        <v>5192</v>
      </c>
      <c r="L25" s="163"/>
      <c r="M25" s="163"/>
    </row>
    <row r="26" spans="1:13" s="5" customFormat="1" ht="25.5" customHeight="1">
      <c r="A26" s="170">
        <v>14</v>
      </c>
      <c r="B26" s="171" t="s">
        <v>297</v>
      </c>
      <c r="C26" s="79">
        <v>20</v>
      </c>
      <c r="D26" s="79">
        <v>20</v>
      </c>
      <c r="E26" s="79">
        <v>20</v>
      </c>
      <c r="F26" s="172"/>
      <c r="G26" s="172"/>
      <c r="H26" s="172">
        <v>5084</v>
      </c>
      <c r="I26" s="172"/>
      <c r="J26" s="172"/>
      <c r="K26" s="172">
        <f t="shared" si="1"/>
        <v>5104</v>
      </c>
      <c r="L26" s="163"/>
      <c r="M26" s="163"/>
    </row>
    <row r="27" spans="1:13" s="5" customFormat="1" ht="25.5" customHeight="1">
      <c r="A27" s="170">
        <v>15</v>
      </c>
      <c r="B27" s="171" t="s">
        <v>298</v>
      </c>
      <c r="C27" s="79">
        <v>15</v>
      </c>
      <c r="D27" s="79">
        <v>15</v>
      </c>
      <c r="E27" s="79">
        <v>15</v>
      </c>
      <c r="F27" s="172"/>
      <c r="G27" s="172"/>
      <c r="H27" s="172">
        <v>5617</v>
      </c>
      <c r="I27" s="172"/>
      <c r="J27" s="172"/>
      <c r="K27" s="172">
        <f t="shared" si="1"/>
        <v>5632</v>
      </c>
      <c r="L27" s="163"/>
      <c r="M27" s="163"/>
    </row>
    <row r="28" spans="1:13" ht="25.5" customHeight="1">
      <c r="A28" s="170">
        <v>16</v>
      </c>
      <c r="B28" s="171" t="s">
        <v>299</v>
      </c>
      <c r="C28" s="79">
        <v>15</v>
      </c>
      <c r="D28" s="79">
        <v>15</v>
      </c>
      <c r="E28" s="79">
        <v>15</v>
      </c>
      <c r="F28" s="172"/>
      <c r="G28" s="172"/>
      <c r="H28" s="172">
        <v>4829</v>
      </c>
      <c r="I28" s="172"/>
      <c r="J28" s="172"/>
      <c r="K28" s="172">
        <f t="shared" si="1"/>
        <v>4844</v>
      </c>
      <c r="L28" s="163"/>
      <c r="M28" s="155"/>
    </row>
    <row r="29" spans="1:13" ht="25.5" customHeight="1">
      <c r="A29" s="170">
        <v>17</v>
      </c>
      <c r="B29" s="171" t="s">
        <v>300</v>
      </c>
      <c r="C29" s="79">
        <v>20</v>
      </c>
      <c r="D29" s="79">
        <v>20</v>
      </c>
      <c r="E29" s="79">
        <v>20</v>
      </c>
      <c r="F29" s="172"/>
      <c r="G29" s="172"/>
      <c r="H29" s="172">
        <v>5563</v>
      </c>
      <c r="I29" s="172"/>
      <c r="J29" s="172"/>
      <c r="K29" s="172">
        <f t="shared" si="1"/>
        <v>5583</v>
      </c>
      <c r="L29" s="163"/>
      <c r="M29" s="155"/>
    </row>
    <row r="30" spans="1:13" ht="25.5" customHeight="1">
      <c r="A30" s="170">
        <v>18</v>
      </c>
      <c r="B30" s="171" t="s">
        <v>301</v>
      </c>
      <c r="C30" s="79">
        <v>65</v>
      </c>
      <c r="D30" s="79">
        <v>65</v>
      </c>
      <c r="E30" s="79">
        <v>65</v>
      </c>
      <c r="F30" s="172">
        <f>+G30/80*100</f>
        <v>0</v>
      </c>
      <c r="G30" s="172"/>
      <c r="H30" s="172">
        <v>6592</v>
      </c>
      <c r="I30" s="172"/>
      <c r="J30" s="172"/>
      <c r="K30" s="172">
        <f t="shared" si="1"/>
        <v>6657</v>
      </c>
      <c r="L30" s="163"/>
      <c r="M30" s="155"/>
    </row>
    <row r="31" spans="1:13" ht="25.5" customHeight="1" thickBot="1">
      <c r="A31" s="267">
        <v>19</v>
      </c>
      <c r="B31" s="268" t="s">
        <v>302</v>
      </c>
      <c r="C31" s="255">
        <v>20</v>
      </c>
      <c r="D31" s="255">
        <v>20</v>
      </c>
      <c r="E31" s="255">
        <v>20</v>
      </c>
      <c r="F31" s="269"/>
      <c r="G31" s="269"/>
      <c r="H31" s="269">
        <v>5211</v>
      </c>
      <c r="I31" s="269"/>
      <c r="J31" s="269"/>
      <c r="K31" s="269">
        <f>D31+H31+I31+J31</f>
        <v>5231</v>
      </c>
      <c r="L31" s="163"/>
      <c r="M31" s="155"/>
    </row>
    <row r="32" spans="1:12" ht="19.5" thickTop="1">
      <c r="A32" s="5"/>
      <c r="B32" s="5"/>
      <c r="C32" s="5"/>
      <c r="D32" s="5"/>
      <c r="E32" s="5"/>
      <c r="F32" s="5"/>
      <c r="G32" s="5"/>
      <c r="H32" s="5"/>
      <c r="I32" s="5"/>
      <c r="J32" s="5"/>
      <c r="K32" s="5"/>
      <c r="L32" s="5"/>
    </row>
    <row r="33" spans="1:12" ht="18.75">
      <c r="A33" s="7"/>
      <c r="B33" s="5"/>
      <c r="C33" s="5"/>
      <c r="D33" s="5"/>
      <c r="E33" s="5"/>
      <c r="F33" s="5"/>
      <c r="G33" s="5"/>
      <c r="H33" s="5"/>
      <c r="I33" s="5"/>
      <c r="J33" s="5"/>
      <c r="K33" s="5"/>
      <c r="L33" s="5"/>
    </row>
    <row r="34" spans="1:11" ht="18.75">
      <c r="A34" s="5"/>
      <c r="B34" s="5"/>
      <c r="C34" s="5"/>
      <c r="D34" s="5"/>
      <c r="E34" s="5"/>
      <c r="F34" s="5"/>
      <c r="G34" s="5"/>
      <c r="H34" s="5"/>
      <c r="I34" s="5"/>
      <c r="J34" s="5"/>
      <c r="K34" s="5"/>
    </row>
    <row r="35" spans="1:11" ht="18.75">
      <c r="A35" s="5"/>
      <c r="B35" s="5"/>
      <c r="C35" s="5"/>
      <c r="D35" s="5"/>
      <c r="E35" s="5"/>
      <c r="F35" s="5"/>
      <c r="G35" s="5"/>
      <c r="H35" s="5"/>
      <c r="I35" s="5"/>
      <c r="J35" s="5"/>
      <c r="K35" s="5"/>
    </row>
    <row r="36" spans="1:11" ht="18.75">
      <c r="A36" s="5"/>
      <c r="B36" s="5"/>
      <c r="C36" s="5"/>
      <c r="D36" s="5"/>
      <c r="E36" s="5"/>
      <c r="F36" s="5"/>
      <c r="G36" s="5"/>
      <c r="H36" s="5"/>
      <c r="I36" s="5"/>
      <c r="J36" s="5"/>
      <c r="K36" s="5"/>
    </row>
    <row r="37" spans="1:11" ht="18.75">
      <c r="A37" s="5"/>
      <c r="B37" s="5"/>
      <c r="C37" s="5"/>
      <c r="D37" s="5"/>
      <c r="E37" s="5"/>
      <c r="F37" s="5"/>
      <c r="G37" s="5"/>
      <c r="H37" s="5"/>
      <c r="I37" s="5"/>
      <c r="J37" s="5"/>
      <c r="K37" s="5"/>
    </row>
    <row r="38" spans="1:11" ht="18.75">
      <c r="A38" s="5"/>
      <c r="B38" s="5"/>
      <c r="C38" s="5"/>
      <c r="D38" s="5"/>
      <c r="E38" s="5"/>
      <c r="F38" s="5"/>
      <c r="G38" s="5"/>
      <c r="H38" s="5"/>
      <c r="I38" s="5"/>
      <c r="J38" s="5"/>
      <c r="K38" s="5"/>
    </row>
    <row r="39" spans="1:11" ht="18.75">
      <c r="A39" s="5"/>
      <c r="B39" s="5"/>
      <c r="C39" s="5"/>
      <c r="D39" s="5"/>
      <c r="E39" s="5"/>
      <c r="F39" s="5"/>
      <c r="G39" s="5"/>
      <c r="H39" s="5"/>
      <c r="I39" s="5"/>
      <c r="J39" s="5"/>
      <c r="K39" s="5"/>
    </row>
    <row r="40" spans="1:11" ht="22.5" customHeight="1">
      <c r="A40" s="5"/>
      <c r="B40" s="5"/>
      <c r="C40" s="5"/>
      <c r="D40" s="5"/>
      <c r="E40" s="5"/>
      <c r="F40" s="5"/>
      <c r="G40" s="5"/>
      <c r="H40" s="5"/>
      <c r="I40" s="5"/>
      <c r="J40" s="5"/>
      <c r="K40" s="5"/>
    </row>
    <row r="41" spans="1:11" ht="18.75">
      <c r="A41" s="5"/>
      <c r="B41" s="5"/>
      <c r="C41" s="5"/>
      <c r="D41" s="5"/>
      <c r="E41" s="5"/>
      <c r="F41" s="5"/>
      <c r="G41" s="5"/>
      <c r="H41" s="5"/>
      <c r="I41" s="5"/>
      <c r="J41" s="5"/>
      <c r="K41" s="5"/>
    </row>
    <row r="42" spans="1:11" ht="18.75">
      <c r="A42" s="5"/>
      <c r="B42" s="5"/>
      <c r="C42" s="5"/>
      <c r="D42" s="5"/>
      <c r="E42" s="5"/>
      <c r="F42" s="5"/>
      <c r="G42" s="5"/>
      <c r="H42" s="5"/>
      <c r="I42" s="5"/>
      <c r="J42" s="5"/>
      <c r="K42" s="5"/>
    </row>
    <row r="43" spans="1:11" ht="18.75">
      <c r="A43" s="5"/>
      <c r="B43" s="5"/>
      <c r="C43" s="5"/>
      <c r="D43" s="5"/>
      <c r="E43" s="5"/>
      <c r="F43" s="5"/>
      <c r="G43" s="5"/>
      <c r="H43" s="5"/>
      <c r="I43" s="5"/>
      <c r="J43" s="5"/>
      <c r="K43" s="5"/>
    </row>
    <row r="44" spans="1:11" ht="18.75">
      <c r="A44" s="5"/>
      <c r="B44" s="5"/>
      <c r="C44" s="5"/>
      <c r="D44" s="5"/>
      <c r="E44" s="5"/>
      <c r="F44" s="5"/>
      <c r="G44" s="5"/>
      <c r="H44" s="5"/>
      <c r="I44" s="5"/>
      <c r="J44" s="5"/>
      <c r="K44" s="5"/>
    </row>
  </sheetData>
  <sheetProtection/>
  <mergeCells count="14">
    <mergeCell ref="A3:K3"/>
    <mergeCell ref="H6:H10"/>
    <mergeCell ref="I6:I10"/>
    <mergeCell ref="J6:J10"/>
    <mergeCell ref="K6:K10"/>
    <mergeCell ref="A6:A10"/>
    <mergeCell ref="B6:B10"/>
    <mergeCell ref="C6:C10"/>
    <mergeCell ref="D6:D10"/>
    <mergeCell ref="E6:G6"/>
    <mergeCell ref="E7:E10"/>
    <mergeCell ref="F7:G7"/>
    <mergeCell ref="F8:F10"/>
    <mergeCell ref="G8:G10"/>
  </mergeCells>
  <printOptions horizontalCentered="1"/>
  <pageMargins left="0.56" right="0.23" top="0.9" bottom="0.17" header="0.53" footer="0.26"/>
  <pageSetup fitToHeight="0" fitToWidth="1" horizontalDpi="600" verticalDpi="600" orientation="portrait" paperSize="9" scale="78" r:id="rId1"/>
  <headerFooter alignWithMargins="0">
    <oddFooter>&amp;C&amp;".VnTime,Italic"&amp;8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view="pageBreakPreview" zoomScale="80" zoomScaleNormal="70" zoomScaleSheetLayoutView="80" zoomScalePageLayoutView="0" workbookViewId="0" topLeftCell="A2">
      <selection activeCell="K18" sqref="K18"/>
    </sheetView>
  </sheetViews>
  <sheetFormatPr defaultColWidth="8.796875" defaultRowHeight="15"/>
  <cols>
    <col min="1" max="1" width="5.69921875" style="48" customWidth="1"/>
    <col min="2" max="2" width="14.8984375" style="48" customWidth="1"/>
    <col min="3" max="3" width="10.59765625" style="48" customWidth="1"/>
    <col min="4" max="4" width="10.19921875" style="48" customWidth="1"/>
    <col min="5" max="5" width="9.69921875" style="48" customWidth="1"/>
    <col min="6" max="6" width="7.09765625" style="48" customWidth="1"/>
    <col min="7" max="7" width="6.59765625" style="48" customWidth="1"/>
    <col min="8" max="8" width="6.8984375" style="48" customWidth="1"/>
    <col min="9" max="9" width="6.19921875" style="48" customWidth="1"/>
    <col min="10" max="10" width="8.3984375" style="48" customWidth="1"/>
    <col min="11" max="11" width="10.19921875" style="48" customWidth="1"/>
    <col min="12" max="12" width="7.5" style="96" customWidth="1"/>
    <col min="13" max="13" width="7.19921875" style="48" customWidth="1"/>
    <col min="14" max="14" width="6.3984375" style="48" customWidth="1"/>
    <col min="15" max="15" width="9.59765625" style="48" customWidth="1"/>
    <col min="16" max="16" width="8.09765625" style="48" customWidth="1"/>
    <col min="17" max="17" width="9.8984375" style="48" customWidth="1"/>
    <col min="18" max="19" width="9.19921875" style="48" customWidth="1"/>
    <col min="20" max="20" width="11" style="48" customWidth="1"/>
    <col min="21" max="21" width="7.19921875" style="48" hidden="1" customWidth="1"/>
    <col min="22" max="16384" width="9" style="48" customWidth="1"/>
  </cols>
  <sheetData>
    <row r="1" spans="1:21" ht="18.75">
      <c r="A1" s="65"/>
      <c r="B1" s="65"/>
      <c r="C1" s="67"/>
      <c r="D1" s="67"/>
      <c r="E1" s="67"/>
      <c r="F1" s="112"/>
      <c r="G1" s="112"/>
      <c r="H1" s="112"/>
      <c r="I1" s="67"/>
      <c r="J1" s="67"/>
      <c r="K1" s="67"/>
      <c r="L1" s="95"/>
      <c r="M1" s="112"/>
      <c r="N1" s="84"/>
      <c r="O1" s="67"/>
      <c r="P1" s="84"/>
      <c r="Q1" s="112"/>
      <c r="S1" s="110"/>
      <c r="T1" s="111" t="s">
        <v>212</v>
      </c>
      <c r="U1" s="110"/>
    </row>
    <row r="2" spans="1:21" s="71" customFormat="1" ht="18.75">
      <c r="A2" s="412" t="s">
        <v>304</v>
      </c>
      <c r="B2" s="412"/>
      <c r="C2" s="412"/>
      <c r="D2" s="412"/>
      <c r="E2" s="412"/>
      <c r="F2" s="412"/>
      <c r="G2" s="412"/>
      <c r="H2" s="412"/>
      <c r="I2" s="412"/>
      <c r="J2" s="412"/>
      <c r="K2" s="412"/>
      <c r="L2" s="412"/>
      <c r="M2" s="412"/>
      <c r="N2" s="412"/>
      <c r="O2" s="412"/>
      <c r="P2" s="412"/>
      <c r="Q2" s="412"/>
      <c r="R2" s="412"/>
      <c r="S2" s="412"/>
      <c r="T2" s="412"/>
      <c r="U2" s="109"/>
    </row>
    <row r="3" spans="1:21" ht="15.75">
      <c r="A3" s="130" t="str">
        <f>PL15!A3</f>
        <v>(Kèm theo Nghị quyết số       /NQ-HĐND ngày          tháng 12 năm 2023 của HĐND huyện Tuần Giáo)</v>
      </c>
      <c r="B3" s="65"/>
      <c r="C3" s="67"/>
      <c r="D3" s="67"/>
      <c r="E3" s="67"/>
      <c r="F3" s="67"/>
      <c r="G3" s="67"/>
      <c r="H3" s="67"/>
      <c r="I3" s="67"/>
      <c r="J3" s="67"/>
      <c r="K3" s="67"/>
      <c r="L3" s="95"/>
      <c r="M3" s="67"/>
      <c r="N3" s="67"/>
      <c r="O3" s="67"/>
      <c r="P3" s="67"/>
      <c r="Q3" s="67"/>
      <c r="R3" s="67"/>
      <c r="S3" s="67"/>
      <c r="T3" s="67"/>
      <c r="U3" s="67"/>
    </row>
    <row r="4" spans="1:21" s="29" customFormat="1" ht="15">
      <c r="A4" s="113"/>
      <c r="B4" s="113"/>
      <c r="F4" s="114"/>
      <c r="G4" s="458"/>
      <c r="H4" s="458"/>
      <c r="I4" s="458"/>
      <c r="J4" s="114"/>
      <c r="K4" s="458"/>
      <c r="L4" s="458"/>
      <c r="M4" s="458"/>
      <c r="N4" s="114"/>
      <c r="Q4" s="146"/>
      <c r="R4" s="146"/>
      <c r="S4" s="146"/>
      <c r="T4" s="147" t="s">
        <v>90</v>
      </c>
      <c r="U4" s="146"/>
    </row>
    <row r="5" spans="1:21" s="29" customFormat="1" ht="18" customHeight="1">
      <c r="A5" s="437" t="s">
        <v>60</v>
      </c>
      <c r="B5" s="438" t="s">
        <v>31</v>
      </c>
      <c r="C5" s="437" t="s">
        <v>220</v>
      </c>
      <c r="D5" s="438" t="s">
        <v>45</v>
      </c>
      <c r="E5" s="438"/>
      <c r="F5" s="438"/>
      <c r="G5" s="438"/>
      <c r="H5" s="438"/>
      <c r="I5" s="438"/>
      <c r="J5" s="438"/>
      <c r="K5" s="438"/>
      <c r="L5" s="438"/>
      <c r="M5" s="438"/>
      <c r="N5" s="438"/>
      <c r="O5" s="438"/>
      <c r="P5" s="438"/>
      <c r="Q5" s="437" t="s">
        <v>62</v>
      </c>
      <c r="R5" s="437"/>
      <c r="S5" s="437"/>
      <c r="T5" s="437"/>
      <c r="U5" s="437" t="s">
        <v>66</v>
      </c>
    </row>
    <row r="6" spans="1:21" s="29" customFormat="1" ht="7.5" customHeight="1">
      <c r="A6" s="437"/>
      <c r="B6" s="438"/>
      <c r="C6" s="437"/>
      <c r="D6" s="438"/>
      <c r="E6" s="438"/>
      <c r="F6" s="438"/>
      <c r="G6" s="438"/>
      <c r="H6" s="438"/>
      <c r="I6" s="438"/>
      <c r="J6" s="438"/>
      <c r="K6" s="438"/>
      <c r="L6" s="438"/>
      <c r="M6" s="438"/>
      <c r="N6" s="438"/>
      <c r="O6" s="438"/>
      <c r="P6" s="438"/>
      <c r="Q6" s="437"/>
      <c r="R6" s="437"/>
      <c r="S6" s="437"/>
      <c r="T6" s="437"/>
      <c r="U6" s="437"/>
    </row>
    <row r="7" spans="1:21" s="29" customFormat="1" ht="27" customHeight="1">
      <c r="A7" s="437"/>
      <c r="B7" s="438"/>
      <c r="C7" s="437"/>
      <c r="D7" s="437" t="s">
        <v>68</v>
      </c>
      <c r="E7" s="438" t="s">
        <v>24</v>
      </c>
      <c r="F7" s="438"/>
      <c r="G7" s="438"/>
      <c r="H7" s="438"/>
      <c r="I7" s="438"/>
      <c r="J7" s="438"/>
      <c r="K7" s="438" t="s">
        <v>26</v>
      </c>
      <c r="L7" s="438"/>
      <c r="M7" s="438"/>
      <c r="N7" s="437" t="s">
        <v>28</v>
      </c>
      <c r="O7" s="437" t="s">
        <v>29</v>
      </c>
      <c r="P7" s="437" t="s">
        <v>75</v>
      </c>
      <c r="Q7" s="437" t="s">
        <v>79</v>
      </c>
      <c r="R7" s="437" t="s">
        <v>131</v>
      </c>
      <c r="S7" s="437" t="s">
        <v>228</v>
      </c>
      <c r="T7" s="437" t="s">
        <v>132</v>
      </c>
      <c r="U7" s="437"/>
    </row>
    <row r="8" spans="1:21" s="29" customFormat="1" ht="18.75" customHeight="1">
      <c r="A8" s="437"/>
      <c r="B8" s="438"/>
      <c r="C8" s="437"/>
      <c r="D8" s="437"/>
      <c r="E8" s="437" t="s">
        <v>79</v>
      </c>
      <c r="F8" s="438" t="s">
        <v>32</v>
      </c>
      <c r="G8" s="438"/>
      <c r="H8" s="437" t="s">
        <v>124</v>
      </c>
      <c r="I8" s="437" t="s">
        <v>340</v>
      </c>
      <c r="J8" s="437" t="s">
        <v>25</v>
      </c>
      <c r="K8" s="437" t="s">
        <v>79</v>
      </c>
      <c r="L8" s="438" t="s">
        <v>32</v>
      </c>
      <c r="M8" s="438"/>
      <c r="N8" s="437"/>
      <c r="O8" s="437"/>
      <c r="P8" s="437"/>
      <c r="Q8" s="437"/>
      <c r="R8" s="437"/>
      <c r="S8" s="437"/>
      <c r="T8" s="437"/>
      <c r="U8" s="437"/>
    </row>
    <row r="9" spans="1:21" s="29" customFormat="1" ht="17.25" customHeight="1">
      <c r="A9" s="437"/>
      <c r="B9" s="438"/>
      <c r="C9" s="437"/>
      <c r="D9" s="437"/>
      <c r="E9" s="437"/>
      <c r="F9" s="456" t="s">
        <v>98</v>
      </c>
      <c r="G9" s="456" t="s">
        <v>87</v>
      </c>
      <c r="H9" s="437"/>
      <c r="I9" s="437"/>
      <c r="J9" s="437"/>
      <c r="K9" s="437"/>
      <c r="L9" s="457" t="s">
        <v>98</v>
      </c>
      <c r="M9" s="456" t="s">
        <v>87</v>
      </c>
      <c r="N9" s="437"/>
      <c r="O9" s="437"/>
      <c r="P9" s="437"/>
      <c r="Q9" s="437"/>
      <c r="R9" s="437"/>
      <c r="S9" s="437"/>
      <c r="T9" s="437"/>
      <c r="U9" s="437"/>
    </row>
    <row r="10" spans="1:21" s="29" customFormat="1" ht="17.25" customHeight="1">
      <c r="A10" s="437"/>
      <c r="B10" s="438"/>
      <c r="C10" s="437"/>
      <c r="D10" s="437"/>
      <c r="E10" s="437"/>
      <c r="F10" s="456"/>
      <c r="G10" s="456"/>
      <c r="H10" s="437"/>
      <c r="I10" s="437"/>
      <c r="J10" s="437"/>
      <c r="K10" s="437"/>
      <c r="L10" s="457"/>
      <c r="M10" s="456"/>
      <c r="N10" s="437"/>
      <c r="O10" s="437"/>
      <c r="P10" s="437"/>
      <c r="Q10" s="437"/>
      <c r="R10" s="437"/>
      <c r="S10" s="437"/>
      <c r="T10" s="437"/>
      <c r="U10" s="437"/>
    </row>
    <row r="11" spans="1:21" s="29" customFormat="1" ht="17.25" customHeight="1">
      <c r="A11" s="437"/>
      <c r="B11" s="438"/>
      <c r="C11" s="437"/>
      <c r="D11" s="437"/>
      <c r="E11" s="437"/>
      <c r="F11" s="456"/>
      <c r="G11" s="456"/>
      <c r="H11" s="437"/>
      <c r="I11" s="437"/>
      <c r="J11" s="437"/>
      <c r="K11" s="437"/>
      <c r="L11" s="457"/>
      <c r="M11" s="456"/>
      <c r="N11" s="437"/>
      <c r="O11" s="437"/>
      <c r="P11" s="437"/>
      <c r="Q11" s="437"/>
      <c r="R11" s="437"/>
      <c r="S11" s="437"/>
      <c r="T11" s="437"/>
      <c r="U11" s="437"/>
    </row>
    <row r="12" spans="1:21" s="29" customFormat="1" ht="17.25" customHeight="1">
      <c r="A12" s="437"/>
      <c r="B12" s="438"/>
      <c r="C12" s="437"/>
      <c r="D12" s="437"/>
      <c r="E12" s="437"/>
      <c r="F12" s="456"/>
      <c r="G12" s="456"/>
      <c r="H12" s="437"/>
      <c r="I12" s="437"/>
      <c r="J12" s="437"/>
      <c r="K12" s="437"/>
      <c r="L12" s="457"/>
      <c r="M12" s="456"/>
      <c r="N12" s="437"/>
      <c r="O12" s="437"/>
      <c r="P12" s="437"/>
      <c r="Q12" s="437"/>
      <c r="R12" s="437"/>
      <c r="S12" s="437"/>
      <c r="T12" s="437"/>
      <c r="U12" s="437"/>
    </row>
    <row r="13" spans="1:21" s="29" customFormat="1" ht="17.25" customHeight="1">
      <c r="A13" s="437"/>
      <c r="B13" s="438"/>
      <c r="C13" s="437"/>
      <c r="D13" s="437"/>
      <c r="E13" s="437"/>
      <c r="F13" s="456"/>
      <c r="G13" s="456"/>
      <c r="H13" s="437"/>
      <c r="I13" s="437"/>
      <c r="J13" s="437"/>
      <c r="K13" s="437"/>
      <c r="L13" s="457"/>
      <c r="M13" s="456"/>
      <c r="N13" s="437"/>
      <c r="O13" s="437"/>
      <c r="P13" s="437"/>
      <c r="Q13" s="437"/>
      <c r="R13" s="437"/>
      <c r="S13" s="437"/>
      <c r="T13" s="437"/>
      <c r="U13" s="437"/>
    </row>
    <row r="14" spans="1:21" s="29" customFormat="1" ht="17.25" customHeight="1">
      <c r="A14" s="437"/>
      <c r="B14" s="438"/>
      <c r="C14" s="437"/>
      <c r="D14" s="437"/>
      <c r="E14" s="437"/>
      <c r="F14" s="456"/>
      <c r="G14" s="456"/>
      <c r="H14" s="437"/>
      <c r="I14" s="437"/>
      <c r="J14" s="437"/>
      <c r="K14" s="437"/>
      <c r="L14" s="457"/>
      <c r="M14" s="456"/>
      <c r="N14" s="437"/>
      <c r="O14" s="437"/>
      <c r="P14" s="437"/>
      <c r="Q14" s="437"/>
      <c r="R14" s="437"/>
      <c r="S14" s="437"/>
      <c r="T14" s="437"/>
      <c r="U14" s="437"/>
    </row>
    <row r="15" spans="1:21" s="29" customFormat="1" ht="17.25" customHeight="1">
      <c r="A15" s="437"/>
      <c r="B15" s="438"/>
      <c r="C15" s="437"/>
      <c r="D15" s="437"/>
      <c r="E15" s="437"/>
      <c r="F15" s="456"/>
      <c r="G15" s="456"/>
      <c r="H15" s="437"/>
      <c r="I15" s="437"/>
      <c r="J15" s="437"/>
      <c r="K15" s="437"/>
      <c r="L15" s="457"/>
      <c r="M15" s="456"/>
      <c r="N15" s="437"/>
      <c r="O15" s="437"/>
      <c r="P15" s="437"/>
      <c r="Q15" s="437"/>
      <c r="R15" s="437"/>
      <c r="S15" s="437"/>
      <c r="T15" s="437"/>
      <c r="U15" s="437"/>
    </row>
    <row r="16" spans="1:21" s="29" customFormat="1" ht="17.25" customHeight="1">
      <c r="A16" s="28" t="s">
        <v>10</v>
      </c>
      <c r="B16" s="28" t="s">
        <v>11</v>
      </c>
      <c r="C16" s="52" t="s">
        <v>230</v>
      </c>
      <c r="D16" s="53" t="s">
        <v>134</v>
      </c>
      <c r="E16" s="54" t="s">
        <v>133</v>
      </c>
      <c r="F16" s="28">
        <v>4</v>
      </c>
      <c r="G16" s="28">
        <f aca="true" t="shared" si="0" ref="G16:U16">F16+1</f>
        <v>5</v>
      </c>
      <c r="H16" s="28">
        <f t="shared" si="0"/>
        <v>6</v>
      </c>
      <c r="I16" s="28">
        <f t="shared" si="0"/>
        <v>7</v>
      </c>
      <c r="J16" s="28">
        <f t="shared" si="0"/>
        <v>8</v>
      </c>
      <c r="K16" s="28">
        <f t="shared" si="0"/>
        <v>9</v>
      </c>
      <c r="L16" s="295">
        <f t="shared" si="0"/>
        <v>10</v>
      </c>
      <c r="M16" s="28">
        <f t="shared" si="0"/>
        <v>11</v>
      </c>
      <c r="N16" s="28">
        <f t="shared" si="0"/>
        <v>12</v>
      </c>
      <c r="O16" s="28">
        <f>N16+1</f>
        <v>13</v>
      </c>
      <c r="P16" s="28">
        <f t="shared" si="0"/>
        <v>14</v>
      </c>
      <c r="Q16" s="52" t="s">
        <v>135</v>
      </c>
      <c r="R16" s="28">
        <v>16</v>
      </c>
      <c r="S16" s="28">
        <f>R16+1</f>
        <v>17</v>
      </c>
      <c r="T16" s="28">
        <f t="shared" si="0"/>
        <v>18</v>
      </c>
      <c r="U16" s="28">
        <f t="shared" si="0"/>
        <v>19</v>
      </c>
    </row>
    <row r="17" spans="1:21" s="70" customFormat="1" ht="24" customHeight="1">
      <c r="A17" s="287"/>
      <c r="B17" s="115" t="s">
        <v>30</v>
      </c>
      <c r="C17" s="148">
        <f>D17+Q17+U17</f>
        <v>146775</v>
      </c>
      <c r="D17" s="148">
        <f>SUM(D18:D36)</f>
        <v>112590</v>
      </c>
      <c r="E17" s="148">
        <f>SUM(E18:E36)</f>
        <v>2520</v>
      </c>
      <c r="F17" s="148">
        <f aca="true" t="shared" si="1" ref="F17:P17">SUM(F18:F36)</f>
        <v>0</v>
      </c>
      <c r="G17" s="148">
        <f t="shared" si="1"/>
        <v>0</v>
      </c>
      <c r="H17" s="148">
        <f t="shared" si="1"/>
        <v>0</v>
      </c>
      <c r="I17" s="148">
        <f t="shared" si="1"/>
        <v>0</v>
      </c>
      <c r="J17" s="148">
        <f>SUM(J18:J36)</f>
        <v>2520</v>
      </c>
      <c r="K17" s="148">
        <f>SUM(K18:K36)</f>
        <v>107815</v>
      </c>
      <c r="L17" s="296">
        <f t="shared" si="1"/>
        <v>1273</v>
      </c>
      <c r="M17" s="148">
        <f t="shared" si="1"/>
        <v>0</v>
      </c>
      <c r="N17" s="148">
        <f t="shared" si="1"/>
        <v>0</v>
      </c>
      <c r="O17" s="148">
        <f>SUM(O18:O36)</f>
        <v>2255</v>
      </c>
      <c r="P17" s="148">
        <f t="shared" si="1"/>
        <v>0</v>
      </c>
      <c r="Q17" s="148">
        <f>SUM(Q18:Q36)</f>
        <v>34185</v>
      </c>
      <c r="R17" s="148">
        <f>SUM(R18:R36)</f>
        <v>0</v>
      </c>
      <c r="S17" s="148">
        <f>SUM(S18:S36)</f>
        <v>1650</v>
      </c>
      <c r="T17" s="148">
        <f>SUM(T18:T36)</f>
        <v>32535</v>
      </c>
      <c r="U17" s="149">
        <f>SUM(U18:U36)</f>
        <v>0</v>
      </c>
    </row>
    <row r="18" spans="1:21" s="70" customFormat="1" ht="21" customHeight="1">
      <c r="A18" s="131">
        <v>1</v>
      </c>
      <c r="B18" s="116" t="s">
        <v>285</v>
      </c>
      <c r="C18" s="150">
        <f>D18+Q18+U18</f>
        <v>11624</v>
      </c>
      <c r="D18" s="150">
        <f>+E18+K18+N18+O18</f>
        <v>8234</v>
      </c>
      <c r="E18" s="150">
        <f>H18+I18+J18</f>
        <v>0</v>
      </c>
      <c r="F18" s="150"/>
      <c r="G18" s="150"/>
      <c r="H18" s="150"/>
      <c r="I18" s="150"/>
      <c r="J18" s="150"/>
      <c r="K18" s="150">
        <v>8069</v>
      </c>
      <c r="L18" s="297">
        <v>67</v>
      </c>
      <c r="M18" s="150"/>
      <c r="N18" s="150"/>
      <c r="O18" s="150">
        <v>165</v>
      </c>
      <c r="P18" s="150"/>
      <c r="Q18" s="150">
        <f>+R18+S18+T18</f>
        <v>3390</v>
      </c>
      <c r="R18" s="150"/>
      <c r="S18" s="150">
        <v>122</v>
      </c>
      <c r="T18" s="150">
        <v>3268</v>
      </c>
      <c r="U18" s="151"/>
    </row>
    <row r="19" spans="1:21" s="70" customFormat="1" ht="21" customHeight="1">
      <c r="A19" s="131">
        <v>2</v>
      </c>
      <c r="B19" s="116" t="s">
        <v>286</v>
      </c>
      <c r="C19" s="150">
        <f aca="true" t="shared" si="2" ref="C19:C36">D19+Q19+U19</f>
        <v>6845</v>
      </c>
      <c r="D19" s="150">
        <f aca="true" t="shared" si="3" ref="D19:D36">+E19+K19+N19+O19</f>
        <v>5388</v>
      </c>
      <c r="E19" s="150">
        <f aca="true" t="shared" si="4" ref="E19:E36">H19+I19+J19</f>
        <v>0</v>
      </c>
      <c r="F19" s="150"/>
      <c r="G19" s="150"/>
      <c r="H19" s="150"/>
      <c r="I19" s="150"/>
      <c r="J19" s="150"/>
      <c r="K19" s="150">
        <v>5280</v>
      </c>
      <c r="L19" s="297">
        <v>67</v>
      </c>
      <c r="M19" s="150"/>
      <c r="N19" s="150"/>
      <c r="O19" s="150">
        <v>108</v>
      </c>
      <c r="P19" s="150"/>
      <c r="Q19" s="150">
        <f>+R19+S19+T19</f>
        <v>1457</v>
      </c>
      <c r="R19" s="150"/>
      <c r="S19" s="150">
        <v>145</v>
      </c>
      <c r="T19" s="150">
        <v>1312</v>
      </c>
      <c r="U19" s="151"/>
    </row>
    <row r="20" spans="1:21" s="70" customFormat="1" ht="21" customHeight="1">
      <c r="A20" s="131">
        <v>3</v>
      </c>
      <c r="B20" s="116" t="s">
        <v>287</v>
      </c>
      <c r="C20" s="150">
        <f t="shared" si="2"/>
        <v>7055</v>
      </c>
      <c r="D20" s="150">
        <f t="shared" si="3"/>
        <v>5416</v>
      </c>
      <c r="E20" s="150">
        <f t="shared" si="4"/>
        <v>0</v>
      </c>
      <c r="F20" s="150"/>
      <c r="G20" s="150"/>
      <c r="H20" s="150"/>
      <c r="I20" s="150"/>
      <c r="J20" s="150"/>
      <c r="K20" s="150">
        <v>5307</v>
      </c>
      <c r="L20" s="297">
        <v>67</v>
      </c>
      <c r="M20" s="150"/>
      <c r="N20" s="150"/>
      <c r="O20" s="150">
        <v>109</v>
      </c>
      <c r="P20" s="150"/>
      <c r="Q20" s="150">
        <f aca="true" t="shared" si="5" ref="Q20:Q36">+R20+S20+T20</f>
        <v>1639</v>
      </c>
      <c r="R20" s="150"/>
      <c r="S20" s="150">
        <v>78</v>
      </c>
      <c r="T20" s="150">
        <v>1561</v>
      </c>
      <c r="U20" s="151"/>
    </row>
    <row r="21" spans="1:21" s="70" customFormat="1" ht="21" customHeight="1">
      <c r="A21" s="131">
        <v>4</v>
      </c>
      <c r="B21" s="116" t="s">
        <v>288</v>
      </c>
      <c r="C21" s="150">
        <f t="shared" si="2"/>
        <v>11568</v>
      </c>
      <c r="D21" s="150">
        <f t="shared" si="3"/>
        <v>7255</v>
      </c>
      <c r="E21" s="150">
        <f t="shared" si="4"/>
        <v>0</v>
      </c>
      <c r="F21" s="150"/>
      <c r="G21" s="150"/>
      <c r="H21" s="150"/>
      <c r="I21" s="150"/>
      <c r="J21" s="150"/>
      <c r="K21" s="150">
        <v>7109</v>
      </c>
      <c r="L21" s="297">
        <v>67</v>
      </c>
      <c r="M21" s="150"/>
      <c r="N21" s="150"/>
      <c r="O21" s="150">
        <v>146</v>
      </c>
      <c r="P21" s="150"/>
      <c r="Q21" s="150">
        <f t="shared" si="5"/>
        <v>4313</v>
      </c>
      <c r="R21" s="150"/>
      <c r="S21" s="150">
        <v>238</v>
      </c>
      <c r="T21" s="150">
        <v>4075</v>
      </c>
      <c r="U21" s="151"/>
    </row>
    <row r="22" spans="1:21" ht="21" customHeight="1">
      <c r="A22" s="131">
        <v>5</v>
      </c>
      <c r="B22" s="116" t="s">
        <v>289</v>
      </c>
      <c r="C22" s="150">
        <f t="shared" si="2"/>
        <v>6813</v>
      </c>
      <c r="D22" s="150">
        <f t="shared" si="3"/>
        <v>5453</v>
      </c>
      <c r="E22" s="150">
        <f t="shared" si="4"/>
        <v>0</v>
      </c>
      <c r="F22" s="150"/>
      <c r="G22" s="150"/>
      <c r="H22" s="150"/>
      <c r="I22" s="150"/>
      <c r="J22" s="150"/>
      <c r="K22" s="150">
        <v>5343</v>
      </c>
      <c r="L22" s="297">
        <v>67</v>
      </c>
      <c r="M22" s="150"/>
      <c r="N22" s="150"/>
      <c r="O22" s="150">
        <v>110</v>
      </c>
      <c r="P22" s="150"/>
      <c r="Q22" s="150">
        <f t="shared" si="5"/>
        <v>1360</v>
      </c>
      <c r="R22" s="150"/>
      <c r="S22" s="150"/>
      <c r="T22" s="150">
        <v>1360</v>
      </c>
      <c r="U22" s="151"/>
    </row>
    <row r="23" spans="1:21" ht="21" customHeight="1">
      <c r="A23" s="131">
        <v>6</v>
      </c>
      <c r="B23" s="116" t="s">
        <v>205</v>
      </c>
      <c r="C23" s="150">
        <f t="shared" si="2"/>
        <v>9092</v>
      </c>
      <c r="D23" s="150">
        <f t="shared" si="3"/>
        <v>8982</v>
      </c>
      <c r="E23" s="150">
        <f t="shared" si="4"/>
        <v>2520</v>
      </c>
      <c r="F23" s="150"/>
      <c r="G23" s="150"/>
      <c r="H23" s="150"/>
      <c r="I23" s="150"/>
      <c r="J23" s="150">
        <v>2520</v>
      </c>
      <c r="K23" s="150">
        <v>6288</v>
      </c>
      <c r="L23" s="297">
        <v>67</v>
      </c>
      <c r="M23" s="150"/>
      <c r="N23" s="150"/>
      <c r="O23" s="150">
        <v>174</v>
      </c>
      <c r="P23" s="150"/>
      <c r="Q23" s="150">
        <f t="shared" si="5"/>
        <v>110</v>
      </c>
      <c r="R23" s="150"/>
      <c r="S23" s="150"/>
      <c r="T23" s="150">
        <v>110</v>
      </c>
      <c r="U23" s="151"/>
    </row>
    <row r="24" spans="1:21" ht="21" customHeight="1">
      <c r="A24" s="131">
        <v>7</v>
      </c>
      <c r="B24" s="116" t="s">
        <v>290</v>
      </c>
      <c r="C24" s="150">
        <f t="shared" si="2"/>
        <v>8312</v>
      </c>
      <c r="D24" s="150">
        <f t="shared" si="3"/>
        <v>6288</v>
      </c>
      <c r="E24" s="150">
        <f t="shared" si="4"/>
        <v>0</v>
      </c>
      <c r="F24" s="150"/>
      <c r="G24" s="150"/>
      <c r="H24" s="150"/>
      <c r="I24" s="150"/>
      <c r="J24" s="150"/>
      <c r="K24" s="150">
        <v>6162</v>
      </c>
      <c r="L24" s="297">
        <v>67</v>
      </c>
      <c r="M24" s="150"/>
      <c r="N24" s="150"/>
      <c r="O24" s="150">
        <v>126</v>
      </c>
      <c r="P24" s="150"/>
      <c r="Q24" s="150">
        <f t="shared" si="5"/>
        <v>2024</v>
      </c>
      <c r="R24" s="150"/>
      <c r="S24" s="150">
        <v>182</v>
      </c>
      <c r="T24" s="150">
        <v>1842</v>
      </c>
      <c r="U24" s="151"/>
    </row>
    <row r="25" spans="1:21" ht="21" customHeight="1">
      <c r="A25" s="131">
        <v>8</v>
      </c>
      <c r="B25" s="116" t="s">
        <v>291</v>
      </c>
      <c r="C25" s="150">
        <f t="shared" si="2"/>
        <v>7556</v>
      </c>
      <c r="D25" s="150">
        <f t="shared" si="3"/>
        <v>6041</v>
      </c>
      <c r="E25" s="150">
        <f t="shared" si="4"/>
        <v>0</v>
      </c>
      <c r="F25" s="150"/>
      <c r="G25" s="150"/>
      <c r="H25" s="150"/>
      <c r="I25" s="150"/>
      <c r="J25" s="150"/>
      <c r="K25" s="150">
        <v>5920</v>
      </c>
      <c r="L25" s="297">
        <v>67</v>
      </c>
      <c r="M25" s="150"/>
      <c r="N25" s="150"/>
      <c r="O25" s="150">
        <v>121</v>
      </c>
      <c r="P25" s="150"/>
      <c r="Q25" s="150">
        <f t="shared" si="5"/>
        <v>1515</v>
      </c>
      <c r="R25" s="150"/>
      <c r="S25" s="150">
        <v>36</v>
      </c>
      <c r="T25" s="150">
        <v>1479</v>
      </c>
      <c r="U25" s="151"/>
    </row>
    <row r="26" spans="1:21" ht="21" customHeight="1">
      <c r="A26" s="131">
        <v>9</v>
      </c>
      <c r="B26" s="116" t="s">
        <v>292</v>
      </c>
      <c r="C26" s="150">
        <f t="shared" si="2"/>
        <v>7982</v>
      </c>
      <c r="D26" s="150">
        <f t="shared" si="3"/>
        <v>6024</v>
      </c>
      <c r="E26" s="150">
        <f t="shared" si="4"/>
        <v>0</v>
      </c>
      <c r="F26" s="150"/>
      <c r="G26" s="150"/>
      <c r="H26" s="150"/>
      <c r="I26" s="150"/>
      <c r="J26" s="150"/>
      <c r="K26" s="150">
        <v>5903</v>
      </c>
      <c r="L26" s="297">
        <v>67</v>
      </c>
      <c r="M26" s="150"/>
      <c r="N26" s="150"/>
      <c r="O26" s="150">
        <v>121</v>
      </c>
      <c r="P26" s="150"/>
      <c r="Q26" s="150">
        <f t="shared" si="5"/>
        <v>1958</v>
      </c>
      <c r="R26" s="150"/>
      <c r="S26" s="150">
        <v>128</v>
      </c>
      <c r="T26" s="150">
        <v>1830</v>
      </c>
      <c r="U26" s="151"/>
    </row>
    <row r="27" spans="1:21" ht="21" customHeight="1">
      <c r="A27" s="131">
        <v>10</v>
      </c>
      <c r="B27" s="116" t="s">
        <v>293</v>
      </c>
      <c r="C27" s="150">
        <f t="shared" si="2"/>
        <v>7126</v>
      </c>
      <c r="D27" s="150">
        <f t="shared" si="3"/>
        <v>5244</v>
      </c>
      <c r="E27" s="150">
        <f t="shared" si="4"/>
        <v>0</v>
      </c>
      <c r="F27" s="150"/>
      <c r="G27" s="150"/>
      <c r="H27" s="150"/>
      <c r="I27" s="150"/>
      <c r="J27" s="150"/>
      <c r="K27" s="150">
        <v>5139</v>
      </c>
      <c r="L27" s="297">
        <v>67</v>
      </c>
      <c r="M27" s="150"/>
      <c r="N27" s="150"/>
      <c r="O27" s="150">
        <v>105</v>
      </c>
      <c r="P27" s="150"/>
      <c r="Q27" s="150">
        <f t="shared" si="5"/>
        <v>1882</v>
      </c>
      <c r="R27" s="150"/>
      <c r="S27" s="150">
        <v>177</v>
      </c>
      <c r="T27" s="150">
        <v>1705</v>
      </c>
      <c r="U27" s="151"/>
    </row>
    <row r="28" spans="1:21" ht="21" customHeight="1">
      <c r="A28" s="131">
        <v>11</v>
      </c>
      <c r="B28" s="116" t="s">
        <v>294</v>
      </c>
      <c r="C28" s="150">
        <f t="shared" si="2"/>
        <v>6586</v>
      </c>
      <c r="D28" s="150">
        <f t="shared" si="3"/>
        <v>5143</v>
      </c>
      <c r="E28" s="150">
        <f t="shared" si="4"/>
        <v>0</v>
      </c>
      <c r="F28" s="150"/>
      <c r="G28" s="150"/>
      <c r="H28" s="150"/>
      <c r="I28" s="150"/>
      <c r="J28" s="150"/>
      <c r="K28" s="150">
        <v>5040</v>
      </c>
      <c r="L28" s="297">
        <v>67</v>
      </c>
      <c r="M28" s="150"/>
      <c r="N28" s="150"/>
      <c r="O28" s="150">
        <v>103</v>
      </c>
      <c r="P28" s="150"/>
      <c r="Q28" s="150">
        <f t="shared" si="5"/>
        <v>1443</v>
      </c>
      <c r="R28" s="150"/>
      <c r="S28" s="150"/>
      <c r="T28" s="150">
        <v>1443</v>
      </c>
      <c r="U28" s="151"/>
    </row>
    <row r="29" spans="1:21" ht="21" customHeight="1">
      <c r="A29" s="131">
        <v>12</v>
      </c>
      <c r="B29" s="116" t="s">
        <v>295</v>
      </c>
      <c r="C29" s="150">
        <f t="shared" si="2"/>
        <v>6338</v>
      </c>
      <c r="D29" s="150">
        <f t="shared" si="3"/>
        <v>4879</v>
      </c>
      <c r="E29" s="150">
        <f t="shared" si="4"/>
        <v>0</v>
      </c>
      <c r="F29" s="150"/>
      <c r="G29" s="150"/>
      <c r="H29" s="150"/>
      <c r="I29" s="150"/>
      <c r="J29" s="150"/>
      <c r="K29" s="150">
        <v>4781</v>
      </c>
      <c r="L29" s="297">
        <v>67</v>
      </c>
      <c r="M29" s="150"/>
      <c r="N29" s="150"/>
      <c r="O29" s="150">
        <v>98</v>
      </c>
      <c r="P29" s="150"/>
      <c r="Q29" s="150">
        <f t="shared" si="5"/>
        <v>1459</v>
      </c>
      <c r="R29" s="150"/>
      <c r="S29" s="150">
        <v>0</v>
      </c>
      <c r="T29" s="150">
        <v>1459</v>
      </c>
      <c r="U29" s="151"/>
    </row>
    <row r="30" spans="1:21" ht="21" customHeight="1">
      <c r="A30" s="131">
        <v>13</v>
      </c>
      <c r="B30" s="116" t="s">
        <v>296</v>
      </c>
      <c r="C30" s="150">
        <f t="shared" si="2"/>
        <v>6317</v>
      </c>
      <c r="D30" s="150">
        <f t="shared" si="3"/>
        <v>5192</v>
      </c>
      <c r="E30" s="150">
        <f t="shared" si="4"/>
        <v>0</v>
      </c>
      <c r="F30" s="150"/>
      <c r="G30" s="150"/>
      <c r="H30" s="150"/>
      <c r="I30" s="150"/>
      <c r="J30" s="150"/>
      <c r="K30" s="150">
        <v>5088</v>
      </c>
      <c r="L30" s="297">
        <v>67</v>
      </c>
      <c r="M30" s="150"/>
      <c r="N30" s="150"/>
      <c r="O30" s="150">
        <v>104</v>
      </c>
      <c r="P30" s="150"/>
      <c r="Q30" s="150">
        <f t="shared" si="5"/>
        <v>1125</v>
      </c>
      <c r="R30" s="150"/>
      <c r="S30" s="150">
        <v>35</v>
      </c>
      <c r="T30" s="150">
        <v>1090</v>
      </c>
      <c r="U30" s="151"/>
    </row>
    <row r="31" spans="1:21" ht="21" customHeight="1">
      <c r="A31" s="131">
        <v>14</v>
      </c>
      <c r="B31" s="116" t="s">
        <v>297</v>
      </c>
      <c r="C31" s="150">
        <f t="shared" si="2"/>
        <v>7032</v>
      </c>
      <c r="D31" s="150">
        <f t="shared" si="3"/>
        <v>5104</v>
      </c>
      <c r="E31" s="150">
        <f t="shared" si="4"/>
        <v>0</v>
      </c>
      <c r="F31" s="150"/>
      <c r="G31" s="150"/>
      <c r="H31" s="150"/>
      <c r="I31" s="150"/>
      <c r="J31" s="150"/>
      <c r="K31" s="150">
        <v>5001</v>
      </c>
      <c r="L31" s="297">
        <v>67</v>
      </c>
      <c r="M31" s="150"/>
      <c r="N31" s="150"/>
      <c r="O31" s="150">
        <v>103</v>
      </c>
      <c r="P31" s="150"/>
      <c r="Q31" s="150">
        <f t="shared" si="5"/>
        <v>1928</v>
      </c>
      <c r="R31" s="150"/>
      <c r="S31" s="150">
        <v>153</v>
      </c>
      <c r="T31" s="150">
        <v>1775</v>
      </c>
      <c r="U31" s="151"/>
    </row>
    <row r="32" spans="1:21" ht="21" customHeight="1">
      <c r="A32" s="131">
        <v>15</v>
      </c>
      <c r="B32" s="116" t="s">
        <v>298</v>
      </c>
      <c r="C32" s="150">
        <f t="shared" si="2"/>
        <v>7145</v>
      </c>
      <c r="D32" s="150">
        <f t="shared" si="3"/>
        <v>5632</v>
      </c>
      <c r="E32" s="150">
        <f t="shared" si="4"/>
        <v>0</v>
      </c>
      <c r="F32" s="150"/>
      <c r="G32" s="150"/>
      <c r="H32" s="150"/>
      <c r="I32" s="150"/>
      <c r="J32" s="150"/>
      <c r="K32" s="150">
        <v>5519</v>
      </c>
      <c r="L32" s="297">
        <v>67</v>
      </c>
      <c r="M32" s="150"/>
      <c r="N32" s="150"/>
      <c r="O32" s="150">
        <v>113</v>
      </c>
      <c r="P32" s="150"/>
      <c r="Q32" s="150">
        <f t="shared" si="5"/>
        <v>1513</v>
      </c>
      <c r="R32" s="150"/>
      <c r="S32" s="150">
        <v>49</v>
      </c>
      <c r="T32" s="150">
        <v>1464</v>
      </c>
      <c r="U32" s="151"/>
    </row>
    <row r="33" spans="1:21" ht="21" customHeight="1">
      <c r="A33" s="131">
        <v>16</v>
      </c>
      <c r="B33" s="116" t="s">
        <v>299</v>
      </c>
      <c r="C33" s="150">
        <f t="shared" si="2"/>
        <v>6087</v>
      </c>
      <c r="D33" s="150">
        <f t="shared" si="3"/>
        <v>4844</v>
      </c>
      <c r="E33" s="150">
        <f t="shared" si="4"/>
        <v>0</v>
      </c>
      <c r="F33" s="150"/>
      <c r="G33" s="150"/>
      <c r="H33" s="150"/>
      <c r="I33" s="150"/>
      <c r="J33" s="150"/>
      <c r="K33" s="150">
        <v>4746</v>
      </c>
      <c r="L33" s="297">
        <v>67</v>
      </c>
      <c r="M33" s="150"/>
      <c r="N33" s="150"/>
      <c r="O33" s="150">
        <v>98</v>
      </c>
      <c r="P33" s="150"/>
      <c r="Q33" s="150">
        <f t="shared" si="5"/>
        <v>1243</v>
      </c>
      <c r="R33" s="150"/>
      <c r="S33" s="150">
        <v>118</v>
      </c>
      <c r="T33" s="150">
        <v>1125</v>
      </c>
      <c r="U33" s="151"/>
    </row>
    <row r="34" spans="1:21" ht="21" customHeight="1">
      <c r="A34" s="131">
        <v>17</v>
      </c>
      <c r="B34" s="116" t="s">
        <v>300</v>
      </c>
      <c r="C34" s="150">
        <f t="shared" si="2"/>
        <v>6808</v>
      </c>
      <c r="D34" s="150">
        <f t="shared" si="3"/>
        <v>5583</v>
      </c>
      <c r="E34" s="150">
        <f t="shared" si="4"/>
        <v>0</v>
      </c>
      <c r="F34" s="150"/>
      <c r="G34" s="150"/>
      <c r="H34" s="150"/>
      <c r="I34" s="150"/>
      <c r="J34" s="150"/>
      <c r="K34" s="150">
        <v>5471</v>
      </c>
      <c r="L34" s="297">
        <v>67</v>
      </c>
      <c r="M34" s="150"/>
      <c r="N34" s="150"/>
      <c r="O34" s="150">
        <v>112</v>
      </c>
      <c r="P34" s="150"/>
      <c r="Q34" s="150">
        <f t="shared" si="5"/>
        <v>1225</v>
      </c>
      <c r="R34" s="150"/>
      <c r="S34" s="150">
        <v>28</v>
      </c>
      <c r="T34" s="150">
        <v>1197</v>
      </c>
      <c r="U34" s="151"/>
    </row>
    <row r="35" spans="1:21" ht="21" customHeight="1">
      <c r="A35" s="131">
        <v>18</v>
      </c>
      <c r="B35" s="116" t="s">
        <v>301</v>
      </c>
      <c r="C35" s="150">
        <f t="shared" si="2"/>
        <v>9692</v>
      </c>
      <c r="D35" s="150">
        <f t="shared" si="3"/>
        <v>6657</v>
      </c>
      <c r="E35" s="150">
        <f t="shared" si="4"/>
        <v>0</v>
      </c>
      <c r="F35" s="150"/>
      <c r="G35" s="150"/>
      <c r="H35" s="150"/>
      <c r="I35" s="150"/>
      <c r="J35" s="150"/>
      <c r="K35" s="150">
        <v>6523</v>
      </c>
      <c r="L35" s="297">
        <v>67</v>
      </c>
      <c r="M35" s="150"/>
      <c r="N35" s="150"/>
      <c r="O35" s="150">
        <v>134</v>
      </c>
      <c r="P35" s="150"/>
      <c r="Q35" s="150">
        <f t="shared" si="5"/>
        <v>3035</v>
      </c>
      <c r="R35" s="150"/>
      <c r="S35" s="150">
        <v>161</v>
      </c>
      <c r="T35" s="150">
        <v>2874</v>
      </c>
      <c r="U35" s="151"/>
    </row>
    <row r="36" spans="1:21" ht="21" customHeight="1" thickBot="1">
      <c r="A36" s="270">
        <v>19</v>
      </c>
      <c r="B36" s="271" t="s">
        <v>302</v>
      </c>
      <c r="C36" s="272">
        <f t="shared" si="2"/>
        <v>6797</v>
      </c>
      <c r="D36" s="272">
        <f t="shared" si="3"/>
        <v>5231</v>
      </c>
      <c r="E36" s="272">
        <f t="shared" si="4"/>
        <v>0</v>
      </c>
      <c r="F36" s="272"/>
      <c r="G36" s="272"/>
      <c r="H36" s="272"/>
      <c r="I36" s="272"/>
      <c r="J36" s="272"/>
      <c r="K36" s="272">
        <v>5126</v>
      </c>
      <c r="L36" s="297">
        <v>67</v>
      </c>
      <c r="M36" s="272"/>
      <c r="N36" s="272"/>
      <c r="O36" s="272">
        <v>105</v>
      </c>
      <c r="P36" s="272"/>
      <c r="Q36" s="272">
        <f t="shared" si="5"/>
        <v>1566</v>
      </c>
      <c r="R36" s="272"/>
      <c r="S36" s="272">
        <v>0</v>
      </c>
      <c r="T36" s="272">
        <v>1566</v>
      </c>
      <c r="U36" s="152"/>
    </row>
    <row r="37" spans="1:21" ht="19.5" thickTop="1">
      <c r="A37" s="70"/>
      <c r="B37" s="70"/>
      <c r="C37" s="70"/>
      <c r="D37" s="70"/>
      <c r="E37" s="70"/>
      <c r="F37" s="70"/>
      <c r="G37" s="70"/>
      <c r="H37" s="70"/>
      <c r="I37" s="70"/>
      <c r="J37" s="70"/>
      <c r="K37" s="70"/>
      <c r="L37" s="100"/>
      <c r="M37" s="70"/>
      <c r="N37" s="70"/>
      <c r="O37" s="70"/>
      <c r="P37" s="70"/>
      <c r="Q37" s="70"/>
      <c r="R37" s="70"/>
      <c r="S37" s="70"/>
      <c r="T37" s="70"/>
      <c r="U37" s="70"/>
    </row>
    <row r="38" spans="1:21" ht="18.75">
      <c r="A38" s="70"/>
      <c r="B38" s="70"/>
      <c r="C38" s="70"/>
      <c r="D38" s="70"/>
      <c r="E38" s="70"/>
      <c r="F38" s="70"/>
      <c r="G38" s="70"/>
      <c r="H38" s="70"/>
      <c r="I38" s="70"/>
      <c r="J38" s="70"/>
      <c r="K38" s="70"/>
      <c r="L38" s="100"/>
      <c r="M38" s="70"/>
      <c r="N38" s="70"/>
      <c r="O38" s="70"/>
      <c r="P38" s="70"/>
      <c r="Q38" s="70"/>
      <c r="R38" s="70"/>
      <c r="S38" s="70"/>
      <c r="T38" s="70"/>
      <c r="U38" s="70"/>
    </row>
    <row r="39" spans="1:21" ht="18.75">
      <c r="A39" s="70"/>
      <c r="B39" s="70"/>
      <c r="C39" s="70"/>
      <c r="D39" s="70"/>
      <c r="E39" s="70"/>
      <c r="F39" s="70"/>
      <c r="G39" s="70"/>
      <c r="H39" s="70"/>
      <c r="I39" s="70"/>
      <c r="J39" s="70"/>
      <c r="K39" s="70"/>
      <c r="L39" s="100"/>
      <c r="M39" s="70"/>
      <c r="N39" s="70"/>
      <c r="O39" s="70"/>
      <c r="P39" s="70"/>
      <c r="Q39" s="70"/>
      <c r="R39" s="70"/>
      <c r="S39" s="70"/>
      <c r="T39" s="70"/>
      <c r="U39" s="70"/>
    </row>
  </sheetData>
  <sheetProtection/>
  <mergeCells count="30">
    <mergeCell ref="A2:T2"/>
    <mergeCell ref="Q5:T6"/>
    <mergeCell ref="U5:U15"/>
    <mergeCell ref="D7:D15"/>
    <mergeCell ref="S7:S15"/>
    <mergeCell ref="G4:I4"/>
    <mergeCell ref="K4:M4"/>
    <mergeCell ref="K7:M7"/>
    <mergeCell ref="I8:I15"/>
    <mergeCell ref="G9:G15"/>
    <mergeCell ref="C5:C15"/>
    <mergeCell ref="E7:J7"/>
    <mergeCell ref="L8:M8"/>
    <mergeCell ref="O7:O15"/>
    <mergeCell ref="P7:P15"/>
    <mergeCell ref="T7:T15"/>
    <mergeCell ref="Q7:Q15"/>
    <mergeCell ref="L9:L15"/>
    <mergeCell ref="M9:M15"/>
    <mergeCell ref="D5:P6"/>
    <mergeCell ref="B5:B15"/>
    <mergeCell ref="J8:J15"/>
    <mergeCell ref="H8:H15"/>
    <mergeCell ref="R7:R15"/>
    <mergeCell ref="A5:A15"/>
    <mergeCell ref="E8:E15"/>
    <mergeCell ref="F8:G8"/>
    <mergeCell ref="K8:K15"/>
    <mergeCell ref="F9:F15"/>
    <mergeCell ref="N7:N15"/>
  </mergeCells>
  <printOptions/>
  <pageMargins left="0.39" right="0" top="0.33" bottom="0.44" header="0.25" footer="0.25"/>
  <pageSetup fitToHeight="0"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I44"/>
  <sheetViews>
    <sheetView view="pageBreakPreview" zoomScale="80" zoomScaleSheetLayoutView="80" zoomScalePageLayoutView="0" workbookViewId="0" topLeftCell="A1">
      <selection activeCell="E10" sqref="E10"/>
    </sheetView>
  </sheetViews>
  <sheetFormatPr defaultColWidth="8.796875" defaultRowHeight="15"/>
  <cols>
    <col min="1" max="1" width="7.3984375" style="26" customWidth="1"/>
    <col min="2" max="2" width="18" style="26" customWidth="1"/>
    <col min="3" max="3" width="12" style="26" customWidth="1"/>
    <col min="4" max="4" width="18.09765625" style="26" customWidth="1"/>
    <col min="5" max="5" width="18.3984375" style="26" customWidth="1"/>
    <col min="6" max="6" width="15.19921875" style="26" customWidth="1"/>
    <col min="7" max="7" width="12.5" style="26" bestFit="1" customWidth="1"/>
    <col min="8" max="16384" width="9" style="26" customWidth="1"/>
  </cols>
  <sheetData>
    <row r="1" spans="1:9" ht="18.75">
      <c r="A1" s="65"/>
      <c r="B1" s="65"/>
      <c r="C1" s="67"/>
      <c r="D1" s="67"/>
      <c r="E1" s="112"/>
      <c r="F1" s="111" t="s">
        <v>213</v>
      </c>
      <c r="G1" s="50"/>
      <c r="H1" s="50"/>
      <c r="I1" s="50"/>
    </row>
    <row r="2" spans="1:6" ht="18.75">
      <c r="A2" s="132"/>
      <c r="B2" s="132"/>
      <c r="C2" s="67"/>
      <c r="D2" s="67"/>
      <c r="E2" s="67"/>
      <c r="F2" s="67"/>
    </row>
    <row r="3" spans="1:6" s="27" customFormat="1" ht="16.5">
      <c r="A3" s="108" t="s">
        <v>154</v>
      </c>
      <c r="B3" s="108"/>
      <c r="C3" s="109"/>
      <c r="D3" s="109"/>
      <c r="E3" s="109"/>
      <c r="F3" s="109"/>
    </row>
    <row r="4" spans="1:6" s="27" customFormat="1" ht="16.5">
      <c r="A4" s="459" t="s">
        <v>361</v>
      </c>
      <c r="B4" s="459"/>
      <c r="C4" s="459"/>
      <c r="D4" s="459"/>
      <c r="E4" s="459"/>
      <c r="F4" s="459"/>
    </row>
    <row r="5" spans="1:6" ht="15.75">
      <c r="A5" s="130" t="str">
        <f>PL15!A3</f>
        <v>(Kèm theo Nghị quyết số       /NQ-HĐND ngày          tháng 12 năm 2023 của HĐND huyện Tuần Giáo)</v>
      </c>
      <c r="B5" s="65"/>
      <c r="C5" s="67"/>
      <c r="D5" s="67"/>
      <c r="E5" s="67"/>
      <c r="F5" s="67"/>
    </row>
    <row r="6" spans="1:6" ht="19.5" customHeight="1">
      <c r="A6" s="69"/>
      <c r="B6" s="69"/>
      <c r="C6" s="70"/>
      <c r="D6" s="70"/>
      <c r="E6" s="460" t="s">
        <v>90</v>
      </c>
      <c r="F6" s="460"/>
    </row>
    <row r="7" spans="1:6" ht="36.75" customHeight="1">
      <c r="A7" s="416" t="s">
        <v>60</v>
      </c>
      <c r="B7" s="413" t="s">
        <v>31</v>
      </c>
      <c r="C7" s="413" t="s">
        <v>79</v>
      </c>
      <c r="D7" s="416" t="s">
        <v>131</v>
      </c>
      <c r="E7" s="416" t="s">
        <v>228</v>
      </c>
      <c r="F7" s="416" t="s">
        <v>132</v>
      </c>
    </row>
    <row r="8" spans="1:6" ht="48.75" customHeight="1">
      <c r="A8" s="416"/>
      <c r="B8" s="413"/>
      <c r="C8" s="413"/>
      <c r="D8" s="416"/>
      <c r="E8" s="416"/>
      <c r="F8" s="416"/>
    </row>
    <row r="9" spans="1:6" s="48" customFormat="1" ht="21.75" customHeight="1">
      <c r="A9" s="47" t="s">
        <v>10</v>
      </c>
      <c r="B9" s="47" t="s">
        <v>11</v>
      </c>
      <c r="C9" s="47" t="s">
        <v>100</v>
      </c>
      <c r="D9" s="47">
        <v>2</v>
      </c>
      <c r="E9" s="47">
        <f>D9+1</f>
        <v>3</v>
      </c>
      <c r="F9" s="47">
        <f>E9+1</f>
        <v>4</v>
      </c>
    </row>
    <row r="10" spans="1:6" s="10" customFormat="1" ht="24" customHeight="1">
      <c r="A10" s="133"/>
      <c r="B10" s="80" t="s">
        <v>30</v>
      </c>
      <c r="C10" s="294">
        <f>SUM(C11:C29)</f>
        <v>34185</v>
      </c>
      <c r="D10" s="294">
        <f>SUM(D11:D29)</f>
        <v>0</v>
      </c>
      <c r="E10" s="294">
        <f>SUM(E11:E29)</f>
        <v>1650</v>
      </c>
      <c r="F10" s="294">
        <f>SUM(F11:F29)</f>
        <v>32535</v>
      </c>
    </row>
    <row r="11" spans="1:6" ht="24" customHeight="1">
      <c r="A11" s="92">
        <v>1</v>
      </c>
      <c r="B11" s="79" t="s">
        <v>285</v>
      </c>
      <c r="C11" s="78">
        <f>SUM(D11:F11)</f>
        <v>3390</v>
      </c>
      <c r="D11" s="134"/>
      <c r="E11" s="78">
        <v>122</v>
      </c>
      <c r="F11" s="78">
        <v>3268</v>
      </c>
    </row>
    <row r="12" spans="1:6" ht="24" customHeight="1">
      <c r="A12" s="92">
        <v>2</v>
      </c>
      <c r="B12" s="79" t="s">
        <v>286</v>
      </c>
      <c r="C12" s="78">
        <f aca="true" t="shared" si="0" ref="C12:C29">SUM(D12:F12)</f>
        <v>1457</v>
      </c>
      <c r="D12" s="134"/>
      <c r="E12" s="78">
        <v>145</v>
      </c>
      <c r="F12" s="78">
        <v>1312</v>
      </c>
    </row>
    <row r="13" spans="1:6" ht="24" customHeight="1">
      <c r="A13" s="92">
        <v>3</v>
      </c>
      <c r="B13" s="79" t="s">
        <v>287</v>
      </c>
      <c r="C13" s="78">
        <f t="shared" si="0"/>
        <v>1639</v>
      </c>
      <c r="D13" s="134"/>
      <c r="E13" s="78">
        <v>78</v>
      </c>
      <c r="F13" s="78">
        <v>1561</v>
      </c>
    </row>
    <row r="14" spans="1:6" ht="24" customHeight="1">
      <c r="A14" s="92">
        <v>4</v>
      </c>
      <c r="B14" s="79" t="s">
        <v>288</v>
      </c>
      <c r="C14" s="78">
        <f t="shared" si="0"/>
        <v>4313</v>
      </c>
      <c r="D14" s="134"/>
      <c r="E14" s="78">
        <v>238</v>
      </c>
      <c r="F14" s="78">
        <v>4075</v>
      </c>
    </row>
    <row r="15" spans="1:6" ht="24" customHeight="1">
      <c r="A15" s="92">
        <v>5</v>
      </c>
      <c r="B15" s="79" t="s">
        <v>289</v>
      </c>
      <c r="C15" s="78">
        <f t="shared" si="0"/>
        <v>1360</v>
      </c>
      <c r="D15" s="134"/>
      <c r="E15" s="78"/>
      <c r="F15" s="78">
        <v>1360</v>
      </c>
    </row>
    <row r="16" spans="1:6" ht="24" customHeight="1">
      <c r="A16" s="92">
        <v>6</v>
      </c>
      <c r="B16" s="79" t="s">
        <v>205</v>
      </c>
      <c r="C16" s="78">
        <f t="shared" si="0"/>
        <v>110</v>
      </c>
      <c r="D16" s="134"/>
      <c r="E16" s="78"/>
      <c r="F16" s="78">
        <v>110</v>
      </c>
    </row>
    <row r="17" spans="1:6" ht="24" customHeight="1">
      <c r="A17" s="92">
        <v>7</v>
      </c>
      <c r="B17" s="79" t="s">
        <v>290</v>
      </c>
      <c r="C17" s="78">
        <f t="shared" si="0"/>
        <v>2024</v>
      </c>
      <c r="D17" s="134"/>
      <c r="E17" s="78">
        <v>182</v>
      </c>
      <c r="F17" s="78">
        <v>1842</v>
      </c>
    </row>
    <row r="18" spans="1:6" ht="24" customHeight="1">
      <c r="A18" s="92">
        <v>8</v>
      </c>
      <c r="B18" s="79" t="s">
        <v>291</v>
      </c>
      <c r="C18" s="78">
        <f t="shared" si="0"/>
        <v>1515</v>
      </c>
      <c r="D18" s="134"/>
      <c r="E18" s="78">
        <v>36</v>
      </c>
      <c r="F18" s="78">
        <v>1479</v>
      </c>
    </row>
    <row r="19" spans="1:6" ht="24" customHeight="1">
      <c r="A19" s="92">
        <v>9</v>
      </c>
      <c r="B19" s="79" t="s">
        <v>292</v>
      </c>
      <c r="C19" s="78">
        <f t="shared" si="0"/>
        <v>1958</v>
      </c>
      <c r="D19" s="134"/>
      <c r="E19" s="78">
        <v>128</v>
      </c>
      <c r="F19" s="78">
        <v>1830</v>
      </c>
    </row>
    <row r="20" spans="1:6" ht="24" customHeight="1">
      <c r="A20" s="92">
        <v>10</v>
      </c>
      <c r="B20" s="79" t="s">
        <v>293</v>
      </c>
      <c r="C20" s="78">
        <f t="shared" si="0"/>
        <v>1882</v>
      </c>
      <c r="D20" s="134"/>
      <c r="E20" s="78">
        <v>177</v>
      </c>
      <c r="F20" s="78">
        <v>1705</v>
      </c>
    </row>
    <row r="21" spans="1:6" ht="24" customHeight="1">
      <c r="A21" s="92">
        <v>11</v>
      </c>
      <c r="B21" s="79" t="s">
        <v>294</v>
      </c>
      <c r="C21" s="78">
        <f t="shared" si="0"/>
        <v>1443</v>
      </c>
      <c r="D21" s="134"/>
      <c r="E21" s="78"/>
      <c r="F21" s="78">
        <v>1443</v>
      </c>
    </row>
    <row r="22" spans="1:6" ht="24" customHeight="1">
      <c r="A22" s="92">
        <v>12</v>
      </c>
      <c r="B22" s="79" t="s">
        <v>295</v>
      </c>
      <c r="C22" s="78">
        <f t="shared" si="0"/>
        <v>1459</v>
      </c>
      <c r="D22" s="134"/>
      <c r="E22" s="78">
        <v>0</v>
      </c>
      <c r="F22" s="78">
        <v>1459</v>
      </c>
    </row>
    <row r="23" spans="1:6" ht="24" customHeight="1">
      <c r="A23" s="92">
        <v>13</v>
      </c>
      <c r="B23" s="79" t="s">
        <v>296</v>
      </c>
      <c r="C23" s="78">
        <f t="shared" si="0"/>
        <v>1125</v>
      </c>
      <c r="D23" s="134"/>
      <c r="E23" s="78">
        <v>35</v>
      </c>
      <c r="F23" s="78">
        <v>1090</v>
      </c>
    </row>
    <row r="24" spans="1:6" ht="24" customHeight="1">
      <c r="A24" s="92">
        <v>14</v>
      </c>
      <c r="B24" s="79" t="s">
        <v>297</v>
      </c>
      <c r="C24" s="78">
        <f t="shared" si="0"/>
        <v>1928</v>
      </c>
      <c r="D24" s="134"/>
      <c r="E24" s="78">
        <v>153</v>
      </c>
      <c r="F24" s="78">
        <v>1775</v>
      </c>
    </row>
    <row r="25" spans="1:6" ht="24" customHeight="1">
      <c r="A25" s="92">
        <v>15</v>
      </c>
      <c r="B25" s="79" t="s">
        <v>298</v>
      </c>
      <c r="C25" s="78">
        <f t="shared" si="0"/>
        <v>1513</v>
      </c>
      <c r="D25" s="134"/>
      <c r="E25" s="78">
        <v>49</v>
      </c>
      <c r="F25" s="78">
        <v>1464</v>
      </c>
    </row>
    <row r="26" spans="1:6" ht="24" customHeight="1">
      <c r="A26" s="92">
        <v>16</v>
      </c>
      <c r="B26" s="79" t="s">
        <v>299</v>
      </c>
      <c r="C26" s="78">
        <f t="shared" si="0"/>
        <v>1243</v>
      </c>
      <c r="D26" s="134"/>
      <c r="E26" s="78">
        <v>118</v>
      </c>
      <c r="F26" s="78">
        <v>1125</v>
      </c>
    </row>
    <row r="27" spans="1:6" ht="24" customHeight="1">
      <c r="A27" s="92">
        <v>17</v>
      </c>
      <c r="B27" s="79" t="s">
        <v>300</v>
      </c>
      <c r="C27" s="78">
        <f t="shared" si="0"/>
        <v>1225</v>
      </c>
      <c r="D27" s="134"/>
      <c r="E27" s="78">
        <v>28</v>
      </c>
      <c r="F27" s="78">
        <v>1197</v>
      </c>
    </row>
    <row r="28" spans="1:6" ht="24" customHeight="1">
      <c r="A28" s="92">
        <v>18</v>
      </c>
      <c r="B28" s="79" t="s">
        <v>301</v>
      </c>
      <c r="C28" s="78">
        <f t="shared" si="0"/>
        <v>3035</v>
      </c>
      <c r="D28" s="134"/>
      <c r="E28" s="78">
        <v>161</v>
      </c>
      <c r="F28" s="78">
        <v>2874</v>
      </c>
    </row>
    <row r="29" spans="1:6" ht="24" customHeight="1" thickBot="1">
      <c r="A29" s="259">
        <v>19</v>
      </c>
      <c r="B29" s="255" t="s">
        <v>302</v>
      </c>
      <c r="C29" s="274">
        <f t="shared" si="0"/>
        <v>1566</v>
      </c>
      <c r="D29" s="273"/>
      <c r="E29" s="274">
        <v>0</v>
      </c>
      <c r="F29" s="274">
        <v>1566</v>
      </c>
    </row>
    <row r="30" spans="1:6" ht="25.5" customHeight="1" thickTop="1">
      <c r="A30" s="42"/>
      <c r="B30" s="44"/>
      <c r="C30" s="30"/>
      <c r="D30" s="30"/>
      <c r="E30" s="30"/>
      <c r="F30" s="30"/>
    </row>
    <row r="31" spans="1:6" ht="18.75">
      <c r="A31" s="30"/>
      <c r="B31" s="30"/>
      <c r="C31" s="30"/>
      <c r="D31" s="30"/>
      <c r="E31" s="30"/>
      <c r="F31" s="30"/>
    </row>
    <row r="32" spans="1:6" ht="18.75">
      <c r="A32" s="30"/>
      <c r="B32" s="30"/>
      <c r="C32" s="30"/>
      <c r="D32" s="30"/>
      <c r="E32" s="30"/>
      <c r="F32" s="30"/>
    </row>
    <row r="33" spans="1:6" ht="18.75">
      <c r="A33" s="30"/>
      <c r="B33" s="30"/>
      <c r="C33" s="30"/>
      <c r="D33" s="30"/>
      <c r="E33" s="30"/>
      <c r="F33" s="30"/>
    </row>
    <row r="34" spans="1:6" ht="18.75">
      <c r="A34" s="30"/>
      <c r="B34" s="30"/>
      <c r="C34" s="30"/>
      <c r="D34" s="30"/>
      <c r="E34" s="30"/>
      <c r="F34" s="30"/>
    </row>
    <row r="35" spans="1:6" ht="18.75">
      <c r="A35" s="30"/>
      <c r="B35" s="30"/>
      <c r="C35" s="30"/>
      <c r="D35" s="30"/>
      <c r="E35" s="30"/>
      <c r="F35" s="30"/>
    </row>
    <row r="36" spans="1:6" ht="18.75">
      <c r="A36" s="30"/>
      <c r="B36" s="30"/>
      <c r="C36" s="30"/>
      <c r="D36" s="30"/>
      <c r="E36" s="30"/>
      <c r="F36" s="30"/>
    </row>
    <row r="37" spans="1:6" ht="18.75">
      <c r="A37" s="30"/>
      <c r="B37" s="30"/>
      <c r="C37" s="30"/>
      <c r="D37" s="30"/>
      <c r="E37" s="30"/>
      <c r="F37" s="30"/>
    </row>
    <row r="38" spans="1:6" ht="18.75">
      <c r="A38" s="30"/>
      <c r="B38" s="30"/>
      <c r="C38" s="30"/>
      <c r="D38" s="30"/>
      <c r="E38" s="30"/>
      <c r="F38" s="30"/>
    </row>
    <row r="39" spans="1:6" ht="18.75">
      <c r="A39" s="30"/>
      <c r="B39" s="30"/>
      <c r="C39" s="30"/>
      <c r="D39" s="30"/>
      <c r="E39" s="30"/>
      <c r="F39" s="30"/>
    </row>
    <row r="40" spans="1:6" ht="22.5" customHeight="1">
      <c r="A40" s="30"/>
      <c r="B40" s="30"/>
      <c r="C40" s="30"/>
      <c r="D40" s="30"/>
      <c r="E40" s="30"/>
      <c r="F40" s="30"/>
    </row>
    <row r="41" spans="1:6" ht="18.75">
      <c r="A41" s="30"/>
      <c r="B41" s="30"/>
      <c r="C41" s="30"/>
      <c r="D41" s="30"/>
      <c r="E41" s="30"/>
      <c r="F41" s="30"/>
    </row>
    <row r="42" spans="1:6" ht="18.75">
      <c r="A42" s="30"/>
      <c r="B42" s="30"/>
      <c r="C42" s="30"/>
      <c r="D42" s="30"/>
      <c r="E42" s="30"/>
      <c r="F42" s="30"/>
    </row>
    <row r="43" spans="1:6" ht="18.75">
      <c r="A43" s="30"/>
      <c r="B43" s="30"/>
      <c r="C43" s="30"/>
      <c r="D43" s="30"/>
      <c r="E43" s="30"/>
      <c r="F43" s="30"/>
    </row>
    <row r="44" spans="1:6" ht="18.75">
      <c r="A44" s="30"/>
      <c r="B44" s="30"/>
      <c r="C44" s="30"/>
      <c r="D44" s="30"/>
      <c r="E44" s="30"/>
      <c r="F44" s="30"/>
    </row>
  </sheetData>
  <sheetProtection/>
  <mergeCells count="8">
    <mergeCell ref="A4:F4"/>
    <mergeCell ref="E6:F6"/>
    <mergeCell ref="A7:A8"/>
    <mergeCell ref="B7:B8"/>
    <mergeCell ref="C7:C8"/>
    <mergeCell ref="D7:D8"/>
    <mergeCell ref="E7:E8"/>
    <mergeCell ref="F7:F8"/>
  </mergeCells>
  <printOptions/>
  <pageMargins left="0.66" right="0.23" top="0.64" bottom="0.4" header="0.3" footer="0.3"/>
  <pageSetup fitToHeight="0" fitToWidth="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Q28"/>
  <sheetViews>
    <sheetView view="pageBreakPreview" zoomScale="60" zoomScaleNormal="70" zoomScalePageLayoutView="0" workbookViewId="0" topLeftCell="A4">
      <selection activeCell="M17" sqref="M17"/>
    </sheetView>
  </sheetViews>
  <sheetFormatPr defaultColWidth="8.796875" defaultRowHeight="15"/>
  <cols>
    <col min="1" max="1" width="6.3984375" style="26" customWidth="1"/>
    <col min="2" max="2" width="17.5" style="26" customWidth="1"/>
    <col min="3" max="17" width="9.3984375" style="26" customWidth="1"/>
    <col min="18" max="16384" width="9" style="26" customWidth="1"/>
  </cols>
  <sheetData>
    <row r="1" spans="1:17" ht="18.75" customHeight="1">
      <c r="A1" s="55"/>
      <c r="N1" s="462" t="s">
        <v>249</v>
      </c>
      <c r="O1" s="462"/>
      <c r="P1" s="462"/>
      <c r="Q1" s="462"/>
    </row>
    <row r="2" spans="1:17" ht="63" customHeight="1">
      <c r="A2" s="463" t="s">
        <v>305</v>
      </c>
      <c r="B2" s="463"/>
      <c r="C2" s="463"/>
      <c r="D2" s="463"/>
      <c r="E2" s="463"/>
      <c r="F2" s="463"/>
      <c r="G2" s="463"/>
      <c r="H2" s="463"/>
      <c r="I2" s="463"/>
      <c r="J2" s="463"/>
      <c r="K2" s="463"/>
      <c r="L2" s="463"/>
      <c r="M2" s="463"/>
      <c r="N2" s="463"/>
      <c r="O2" s="463"/>
      <c r="P2" s="463"/>
      <c r="Q2" s="463"/>
    </row>
    <row r="3" spans="1:17" ht="21.75" customHeight="1">
      <c r="A3" s="464" t="str">
        <f>'PL42-NSX'!A5</f>
        <v>(Kèm theo Nghị quyết số       /NQ-HĐND ngày          tháng 12 năm 2023 của HĐND huyện Tuần Giáo)</v>
      </c>
      <c r="B3" s="464"/>
      <c r="C3" s="464"/>
      <c r="D3" s="464"/>
      <c r="E3" s="464"/>
      <c r="F3" s="464"/>
      <c r="G3" s="464"/>
      <c r="H3" s="464"/>
      <c r="I3" s="464"/>
      <c r="J3" s="464"/>
      <c r="K3" s="464"/>
      <c r="L3" s="464"/>
      <c r="M3" s="464"/>
      <c r="N3" s="464"/>
      <c r="O3" s="464"/>
      <c r="P3" s="464"/>
      <c r="Q3" s="464"/>
    </row>
    <row r="4" spans="1:17" ht="21.75" customHeight="1">
      <c r="A4" s="56"/>
      <c r="J4" s="465" t="s">
        <v>90</v>
      </c>
      <c r="K4" s="465"/>
      <c r="L4" s="465"/>
      <c r="M4" s="465"/>
      <c r="N4" s="465"/>
      <c r="O4" s="465"/>
      <c r="P4" s="465"/>
      <c r="Q4" s="465"/>
    </row>
    <row r="5" spans="1:17" ht="75.75" customHeight="1">
      <c r="A5" s="416" t="s">
        <v>60</v>
      </c>
      <c r="B5" s="416" t="s">
        <v>244</v>
      </c>
      <c r="C5" s="416" t="s">
        <v>79</v>
      </c>
      <c r="D5" s="416"/>
      <c r="E5" s="416"/>
      <c r="F5" s="416" t="s">
        <v>306</v>
      </c>
      <c r="G5" s="416"/>
      <c r="H5" s="416"/>
      <c r="I5" s="416" t="s">
        <v>307</v>
      </c>
      <c r="J5" s="416"/>
      <c r="K5" s="416"/>
      <c r="L5" s="416" t="s">
        <v>308</v>
      </c>
      <c r="M5" s="416"/>
      <c r="N5" s="416"/>
      <c r="O5" s="416" t="s">
        <v>309</v>
      </c>
      <c r="P5" s="416"/>
      <c r="Q5" s="416"/>
    </row>
    <row r="6" spans="1:17" ht="61.5" customHeight="1">
      <c r="A6" s="416"/>
      <c r="B6" s="416"/>
      <c r="C6" s="285" t="s">
        <v>79</v>
      </c>
      <c r="D6" s="285" t="s">
        <v>245</v>
      </c>
      <c r="E6" s="285" t="s">
        <v>246</v>
      </c>
      <c r="F6" s="285" t="s">
        <v>79</v>
      </c>
      <c r="G6" s="285" t="s">
        <v>245</v>
      </c>
      <c r="H6" s="285" t="s">
        <v>246</v>
      </c>
      <c r="I6" s="285" t="s">
        <v>79</v>
      </c>
      <c r="J6" s="285" t="s">
        <v>245</v>
      </c>
      <c r="K6" s="285" t="s">
        <v>246</v>
      </c>
      <c r="L6" s="285" t="s">
        <v>79</v>
      </c>
      <c r="M6" s="285" t="s">
        <v>245</v>
      </c>
      <c r="N6" s="285" t="s">
        <v>246</v>
      </c>
      <c r="O6" s="285" t="s">
        <v>79</v>
      </c>
      <c r="P6" s="285" t="s">
        <v>245</v>
      </c>
      <c r="Q6" s="285" t="s">
        <v>246</v>
      </c>
    </row>
    <row r="7" spans="1:17" s="46" customFormat="1" ht="20.25" customHeight="1">
      <c r="A7" s="39" t="s">
        <v>10</v>
      </c>
      <c r="B7" s="39" t="s">
        <v>11</v>
      </c>
      <c r="C7" s="39" t="s">
        <v>48</v>
      </c>
      <c r="D7" s="39">
        <v>2</v>
      </c>
      <c r="E7" s="39">
        <v>3</v>
      </c>
      <c r="F7" s="39" t="s">
        <v>247</v>
      </c>
      <c r="G7" s="39">
        <v>5</v>
      </c>
      <c r="H7" s="39">
        <v>6</v>
      </c>
      <c r="I7" s="39" t="s">
        <v>248</v>
      </c>
      <c r="J7" s="39">
        <v>8</v>
      </c>
      <c r="K7" s="39">
        <v>9</v>
      </c>
      <c r="L7" s="39" t="s">
        <v>310</v>
      </c>
      <c r="M7" s="39">
        <v>11</v>
      </c>
      <c r="N7" s="39">
        <v>12</v>
      </c>
      <c r="O7" s="39" t="s">
        <v>311</v>
      </c>
      <c r="P7" s="39">
        <v>14</v>
      </c>
      <c r="Q7" s="39">
        <v>15</v>
      </c>
    </row>
    <row r="8" spans="1:17" s="10" customFormat="1" ht="20.25" customHeight="1">
      <c r="A8" s="285"/>
      <c r="B8" s="35" t="s">
        <v>30</v>
      </c>
      <c r="C8" s="57">
        <f>SUM(C9:C27)</f>
        <v>34185</v>
      </c>
      <c r="D8" s="57">
        <f aca="true" t="shared" si="0" ref="D8:Q8">SUM(D9:D27)</f>
        <v>34185</v>
      </c>
      <c r="E8" s="57">
        <f t="shared" si="0"/>
        <v>0</v>
      </c>
      <c r="F8" s="57">
        <f t="shared" si="0"/>
        <v>11077</v>
      </c>
      <c r="G8" s="57">
        <f t="shared" si="0"/>
        <v>11077</v>
      </c>
      <c r="H8" s="57">
        <f t="shared" si="0"/>
        <v>0</v>
      </c>
      <c r="I8" s="57">
        <f t="shared" si="0"/>
        <v>20378</v>
      </c>
      <c r="J8" s="57">
        <f t="shared" si="0"/>
        <v>20378</v>
      </c>
      <c r="K8" s="57">
        <f t="shared" si="0"/>
        <v>0</v>
      </c>
      <c r="L8" s="57">
        <f t="shared" si="0"/>
        <v>1080</v>
      </c>
      <c r="M8" s="57">
        <f t="shared" si="0"/>
        <v>1080</v>
      </c>
      <c r="N8" s="57">
        <f t="shared" si="0"/>
        <v>0</v>
      </c>
      <c r="O8" s="57">
        <f t="shared" si="0"/>
        <v>1650</v>
      </c>
      <c r="P8" s="57">
        <f t="shared" si="0"/>
        <v>1650</v>
      </c>
      <c r="Q8" s="57">
        <f t="shared" si="0"/>
        <v>0</v>
      </c>
    </row>
    <row r="9" spans="1:17" ht="20.25" customHeight="1">
      <c r="A9" s="58">
        <v>1</v>
      </c>
      <c r="B9" s="37" t="s">
        <v>285</v>
      </c>
      <c r="C9" s="59">
        <f>+D9+E9</f>
        <v>3390</v>
      </c>
      <c r="D9" s="59">
        <f>+G9+J9+M9+P9</f>
        <v>3390</v>
      </c>
      <c r="E9" s="59">
        <f>+H9+K9+N9+Q9</f>
        <v>0</v>
      </c>
      <c r="F9" s="59">
        <f>G9+H9</f>
        <v>60</v>
      </c>
      <c r="G9" s="59">
        <v>60</v>
      </c>
      <c r="H9" s="59">
        <v>0</v>
      </c>
      <c r="I9" s="59">
        <f>J9+K9</f>
        <v>3183</v>
      </c>
      <c r="J9" s="59">
        <v>3183</v>
      </c>
      <c r="K9" s="59">
        <v>0</v>
      </c>
      <c r="L9" s="59">
        <f>M9+N9</f>
        <v>25</v>
      </c>
      <c r="M9" s="59">
        <v>25</v>
      </c>
      <c r="N9" s="59">
        <v>0</v>
      </c>
      <c r="O9" s="59">
        <f>P9+Q9</f>
        <v>122</v>
      </c>
      <c r="P9" s="49">
        <v>122</v>
      </c>
      <c r="Q9" s="59">
        <v>0</v>
      </c>
    </row>
    <row r="10" spans="1:17" ht="20.25" customHeight="1">
      <c r="A10" s="58">
        <v>2</v>
      </c>
      <c r="B10" s="37" t="s">
        <v>286</v>
      </c>
      <c r="C10" s="59">
        <f aca="true" t="shared" si="1" ref="C10:C27">+D10+E10</f>
        <v>1457</v>
      </c>
      <c r="D10" s="59">
        <f aca="true" t="shared" si="2" ref="D10:E27">+G10+J10+M10+P10</f>
        <v>1457</v>
      </c>
      <c r="E10" s="59">
        <f t="shared" si="2"/>
        <v>0</v>
      </c>
      <c r="F10" s="59">
        <f aca="true" t="shared" si="3" ref="F10:F27">G10+H10</f>
        <v>622</v>
      </c>
      <c r="G10" s="59">
        <v>622</v>
      </c>
      <c r="H10" s="59">
        <v>0</v>
      </c>
      <c r="I10" s="59">
        <f aca="true" t="shared" si="4" ref="I10:I27">J10+K10</f>
        <v>680</v>
      </c>
      <c r="J10" s="59">
        <v>680</v>
      </c>
      <c r="K10" s="59">
        <v>0</v>
      </c>
      <c r="L10" s="59">
        <f aca="true" t="shared" si="5" ref="L10:L27">M10+N10</f>
        <v>10</v>
      </c>
      <c r="M10" s="59">
        <v>10</v>
      </c>
      <c r="N10" s="59">
        <v>0</v>
      </c>
      <c r="O10" s="59">
        <f aca="true" t="shared" si="6" ref="O10:O27">P10+Q10</f>
        <v>145</v>
      </c>
      <c r="P10" s="49">
        <v>145</v>
      </c>
      <c r="Q10" s="59">
        <v>0</v>
      </c>
    </row>
    <row r="11" spans="1:17" ht="20.25" customHeight="1">
      <c r="A11" s="58">
        <v>3</v>
      </c>
      <c r="B11" s="37" t="s">
        <v>287</v>
      </c>
      <c r="C11" s="59">
        <f t="shared" si="1"/>
        <v>1639</v>
      </c>
      <c r="D11" s="59">
        <f t="shared" si="2"/>
        <v>1639</v>
      </c>
      <c r="E11" s="59">
        <f t="shared" si="2"/>
        <v>0</v>
      </c>
      <c r="F11" s="59">
        <f t="shared" si="3"/>
        <v>576</v>
      </c>
      <c r="G11" s="59">
        <v>576</v>
      </c>
      <c r="H11" s="59">
        <v>0</v>
      </c>
      <c r="I11" s="59">
        <f t="shared" si="4"/>
        <v>975</v>
      </c>
      <c r="J11" s="59">
        <v>975</v>
      </c>
      <c r="K11" s="59">
        <v>0</v>
      </c>
      <c r="L11" s="59">
        <f t="shared" si="5"/>
        <v>10</v>
      </c>
      <c r="M11" s="59">
        <v>10</v>
      </c>
      <c r="N11" s="59">
        <v>0</v>
      </c>
      <c r="O11" s="59">
        <f t="shared" si="6"/>
        <v>78</v>
      </c>
      <c r="P11" s="49">
        <v>78</v>
      </c>
      <c r="Q11" s="59">
        <v>0</v>
      </c>
    </row>
    <row r="12" spans="1:17" ht="20.25" customHeight="1">
      <c r="A12" s="58">
        <v>4</v>
      </c>
      <c r="B12" s="37" t="s">
        <v>288</v>
      </c>
      <c r="C12" s="59">
        <f t="shared" si="1"/>
        <v>4313</v>
      </c>
      <c r="D12" s="59">
        <f t="shared" si="2"/>
        <v>4313</v>
      </c>
      <c r="E12" s="59">
        <f t="shared" si="2"/>
        <v>0</v>
      </c>
      <c r="F12" s="59">
        <f t="shared" si="3"/>
        <v>590</v>
      </c>
      <c r="G12" s="59">
        <v>590</v>
      </c>
      <c r="H12" s="59">
        <v>0</v>
      </c>
      <c r="I12" s="59">
        <f t="shared" si="4"/>
        <v>3175</v>
      </c>
      <c r="J12" s="59">
        <v>3175</v>
      </c>
      <c r="K12" s="59">
        <v>0</v>
      </c>
      <c r="L12" s="59">
        <f t="shared" si="5"/>
        <v>310</v>
      </c>
      <c r="M12" s="59">
        <v>310</v>
      </c>
      <c r="N12" s="59">
        <v>0</v>
      </c>
      <c r="O12" s="59">
        <f t="shared" si="6"/>
        <v>238</v>
      </c>
      <c r="P12" s="49">
        <v>238</v>
      </c>
      <c r="Q12" s="59">
        <v>0</v>
      </c>
    </row>
    <row r="13" spans="1:17" ht="20.25" customHeight="1">
      <c r="A13" s="58">
        <v>5</v>
      </c>
      <c r="B13" s="37" t="s">
        <v>289</v>
      </c>
      <c r="C13" s="59">
        <f t="shared" si="1"/>
        <v>1360</v>
      </c>
      <c r="D13" s="59">
        <f t="shared" si="2"/>
        <v>1360</v>
      </c>
      <c r="E13" s="59">
        <f t="shared" si="2"/>
        <v>0</v>
      </c>
      <c r="F13" s="59">
        <f t="shared" si="3"/>
        <v>650</v>
      </c>
      <c r="G13" s="59">
        <v>650</v>
      </c>
      <c r="H13" s="59">
        <v>0</v>
      </c>
      <c r="I13" s="59">
        <f t="shared" si="4"/>
        <v>685</v>
      </c>
      <c r="J13" s="59">
        <v>685</v>
      </c>
      <c r="K13" s="59">
        <v>0</v>
      </c>
      <c r="L13" s="59">
        <f t="shared" si="5"/>
        <v>25</v>
      </c>
      <c r="M13" s="59">
        <v>25</v>
      </c>
      <c r="N13" s="59">
        <v>0</v>
      </c>
      <c r="O13" s="59">
        <f t="shared" si="6"/>
        <v>0</v>
      </c>
      <c r="P13" s="49">
        <v>0</v>
      </c>
      <c r="Q13" s="59">
        <v>0</v>
      </c>
    </row>
    <row r="14" spans="1:17" ht="20.25" customHeight="1">
      <c r="A14" s="58">
        <v>6</v>
      </c>
      <c r="B14" s="37" t="s">
        <v>205</v>
      </c>
      <c r="C14" s="59">
        <f t="shared" si="1"/>
        <v>110</v>
      </c>
      <c r="D14" s="59">
        <f t="shared" si="2"/>
        <v>110</v>
      </c>
      <c r="E14" s="59">
        <f t="shared" si="2"/>
        <v>0</v>
      </c>
      <c r="F14" s="59">
        <f t="shared" si="3"/>
        <v>0</v>
      </c>
      <c r="G14" s="59">
        <v>0</v>
      </c>
      <c r="H14" s="59">
        <v>0</v>
      </c>
      <c r="I14" s="59">
        <f t="shared" si="4"/>
        <v>110</v>
      </c>
      <c r="J14" s="59">
        <v>110</v>
      </c>
      <c r="K14" s="59">
        <v>0</v>
      </c>
      <c r="L14" s="59">
        <f t="shared" si="5"/>
        <v>0</v>
      </c>
      <c r="M14" s="59">
        <v>0</v>
      </c>
      <c r="N14" s="59">
        <v>0</v>
      </c>
      <c r="O14" s="59">
        <f t="shared" si="6"/>
        <v>0</v>
      </c>
      <c r="P14" s="49">
        <v>0</v>
      </c>
      <c r="Q14" s="59">
        <v>0</v>
      </c>
    </row>
    <row r="15" spans="1:17" ht="20.25" customHeight="1">
      <c r="A15" s="58">
        <v>7</v>
      </c>
      <c r="B15" s="37" t="s">
        <v>290</v>
      </c>
      <c r="C15" s="59">
        <f t="shared" si="1"/>
        <v>2024</v>
      </c>
      <c r="D15" s="59">
        <f t="shared" si="2"/>
        <v>2024</v>
      </c>
      <c r="E15" s="59">
        <f t="shared" si="2"/>
        <v>0</v>
      </c>
      <c r="F15" s="59">
        <f t="shared" si="3"/>
        <v>651</v>
      </c>
      <c r="G15" s="59">
        <v>651</v>
      </c>
      <c r="H15" s="59">
        <v>0</v>
      </c>
      <c r="I15" s="59">
        <f t="shared" si="4"/>
        <v>1165</v>
      </c>
      <c r="J15" s="59">
        <v>1165</v>
      </c>
      <c r="K15" s="59">
        <v>0</v>
      </c>
      <c r="L15" s="59">
        <f t="shared" si="5"/>
        <v>26</v>
      </c>
      <c r="M15" s="59">
        <v>26</v>
      </c>
      <c r="N15" s="59">
        <v>0</v>
      </c>
      <c r="O15" s="59">
        <f t="shared" si="6"/>
        <v>182</v>
      </c>
      <c r="P15" s="49">
        <v>182</v>
      </c>
      <c r="Q15" s="59">
        <v>0</v>
      </c>
    </row>
    <row r="16" spans="1:17" ht="20.25" customHeight="1">
      <c r="A16" s="58">
        <v>8</v>
      </c>
      <c r="B16" s="37" t="s">
        <v>291</v>
      </c>
      <c r="C16" s="59">
        <f t="shared" si="1"/>
        <v>1515</v>
      </c>
      <c r="D16" s="59">
        <f t="shared" si="2"/>
        <v>1515</v>
      </c>
      <c r="E16" s="59">
        <f t="shared" si="2"/>
        <v>0</v>
      </c>
      <c r="F16" s="59">
        <f t="shared" si="3"/>
        <v>696</v>
      </c>
      <c r="G16" s="59">
        <v>696</v>
      </c>
      <c r="H16" s="59">
        <v>0</v>
      </c>
      <c r="I16" s="59">
        <f t="shared" si="4"/>
        <v>725</v>
      </c>
      <c r="J16" s="59">
        <v>725</v>
      </c>
      <c r="K16" s="59">
        <v>0</v>
      </c>
      <c r="L16" s="59">
        <f t="shared" si="5"/>
        <v>58</v>
      </c>
      <c r="M16" s="59">
        <v>58</v>
      </c>
      <c r="N16" s="59">
        <v>0</v>
      </c>
      <c r="O16" s="59">
        <f t="shared" si="6"/>
        <v>36</v>
      </c>
      <c r="P16" s="49">
        <v>36</v>
      </c>
      <c r="Q16" s="59">
        <v>0</v>
      </c>
    </row>
    <row r="17" spans="1:17" ht="20.25" customHeight="1">
      <c r="A17" s="58">
        <v>9</v>
      </c>
      <c r="B17" s="37" t="s">
        <v>292</v>
      </c>
      <c r="C17" s="59">
        <f t="shared" si="1"/>
        <v>1958</v>
      </c>
      <c r="D17" s="59">
        <f t="shared" si="2"/>
        <v>1958</v>
      </c>
      <c r="E17" s="59">
        <f t="shared" si="2"/>
        <v>0</v>
      </c>
      <c r="F17" s="59">
        <f t="shared" si="3"/>
        <v>614</v>
      </c>
      <c r="G17" s="59">
        <v>614</v>
      </c>
      <c r="H17" s="59">
        <v>0</v>
      </c>
      <c r="I17" s="59">
        <f t="shared" si="4"/>
        <v>1174</v>
      </c>
      <c r="J17" s="59">
        <v>1174</v>
      </c>
      <c r="K17" s="59">
        <v>0</v>
      </c>
      <c r="L17" s="59">
        <f t="shared" si="5"/>
        <v>42</v>
      </c>
      <c r="M17" s="59">
        <v>42</v>
      </c>
      <c r="N17" s="59">
        <v>0</v>
      </c>
      <c r="O17" s="59">
        <f t="shared" si="6"/>
        <v>128</v>
      </c>
      <c r="P17" s="49">
        <v>128</v>
      </c>
      <c r="Q17" s="59">
        <v>0</v>
      </c>
    </row>
    <row r="18" spans="1:17" ht="20.25" customHeight="1">
      <c r="A18" s="58">
        <v>10</v>
      </c>
      <c r="B18" s="37" t="s">
        <v>293</v>
      </c>
      <c r="C18" s="59">
        <f t="shared" si="1"/>
        <v>1882</v>
      </c>
      <c r="D18" s="59">
        <f t="shared" si="2"/>
        <v>1882</v>
      </c>
      <c r="E18" s="59">
        <f t="shared" si="2"/>
        <v>0</v>
      </c>
      <c r="F18" s="59">
        <f t="shared" si="3"/>
        <v>623</v>
      </c>
      <c r="G18" s="59">
        <v>623</v>
      </c>
      <c r="H18" s="59">
        <v>0</v>
      </c>
      <c r="I18" s="59">
        <f t="shared" si="4"/>
        <v>1040</v>
      </c>
      <c r="J18" s="59">
        <v>1040</v>
      </c>
      <c r="K18" s="59">
        <v>0</v>
      </c>
      <c r="L18" s="59">
        <f t="shared" si="5"/>
        <v>42</v>
      </c>
      <c r="M18" s="59">
        <v>42</v>
      </c>
      <c r="N18" s="59">
        <v>0</v>
      </c>
      <c r="O18" s="59">
        <f t="shared" si="6"/>
        <v>177</v>
      </c>
      <c r="P18" s="49">
        <v>177</v>
      </c>
      <c r="Q18" s="59">
        <v>0</v>
      </c>
    </row>
    <row r="19" spans="1:17" ht="20.25" customHeight="1">
      <c r="A19" s="58">
        <v>11</v>
      </c>
      <c r="B19" s="37" t="s">
        <v>294</v>
      </c>
      <c r="C19" s="59">
        <f t="shared" si="1"/>
        <v>1443</v>
      </c>
      <c r="D19" s="59">
        <f t="shared" si="2"/>
        <v>1443</v>
      </c>
      <c r="E19" s="59">
        <f t="shared" si="2"/>
        <v>0</v>
      </c>
      <c r="F19" s="59">
        <f t="shared" si="3"/>
        <v>668</v>
      </c>
      <c r="G19" s="59">
        <v>668</v>
      </c>
      <c r="H19" s="59">
        <v>0</v>
      </c>
      <c r="I19" s="59">
        <f t="shared" si="4"/>
        <v>765</v>
      </c>
      <c r="J19" s="59">
        <v>765</v>
      </c>
      <c r="K19" s="59">
        <v>0</v>
      </c>
      <c r="L19" s="59">
        <f t="shared" si="5"/>
        <v>10</v>
      </c>
      <c r="M19" s="59">
        <v>10</v>
      </c>
      <c r="N19" s="59">
        <v>0</v>
      </c>
      <c r="O19" s="59">
        <f t="shared" si="6"/>
        <v>0</v>
      </c>
      <c r="P19" s="49">
        <v>0</v>
      </c>
      <c r="Q19" s="59">
        <v>0</v>
      </c>
    </row>
    <row r="20" spans="1:17" ht="20.25" customHeight="1">
      <c r="A20" s="58">
        <v>12</v>
      </c>
      <c r="B20" s="37" t="s">
        <v>295</v>
      </c>
      <c r="C20" s="59">
        <f t="shared" si="1"/>
        <v>1459</v>
      </c>
      <c r="D20" s="59">
        <f t="shared" si="2"/>
        <v>1459</v>
      </c>
      <c r="E20" s="59">
        <f t="shared" si="2"/>
        <v>0</v>
      </c>
      <c r="F20" s="59">
        <f t="shared" si="3"/>
        <v>689</v>
      </c>
      <c r="G20" s="59">
        <v>689</v>
      </c>
      <c r="H20" s="59">
        <v>0</v>
      </c>
      <c r="I20" s="59">
        <f t="shared" si="4"/>
        <v>760</v>
      </c>
      <c r="J20" s="59">
        <v>760</v>
      </c>
      <c r="K20" s="59">
        <v>0</v>
      </c>
      <c r="L20" s="59">
        <f t="shared" si="5"/>
        <v>10</v>
      </c>
      <c r="M20" s="59">
        <v>10</v>
      </c>
      <c r="N20" s="59">
        <v>0</v>
      </c>
      <c r="O20" s="59">
        <f t="shared" si="6"/>
        <v>0</v>
      </c>
      <c r="P20" s="49">
        <v>0</v>
      </c>
      <c r="Q20" s="59">
        <v>0</v>
      </c>
    </row>
    <row r="21" spans="1:17" ht="20.25" customHeight="1">
      <c r="A21" s="58">
        <v>13</v>
      </c>
      <c r="B21" s="37" t="s">
        <v>296</v>
      </c>
      <c r="C21" s="59">
        <f t="shared" si="1"/>
        <v>1125</v>
      </c>
      <c r="D21" s="59">
        <f t="shared" si="2"/>
        <v>1125</v>
      </c>
      <c r="E21" s="59">
        <f t="shared" si="2"/>
        <v>0</v>
      </c>
      <c r="F21" s="59">
        <f t="shared" si="3"/>
        <v>700</v>
      </c>
      <c r="G21" s="59">
        <v>700</v>
      </c>
      <c r="H21" s="59">
        <v>0</v>
      </c>
      <c r="I21" s="59">
        <f t="shared" si="4"/>
        <v>365</v>
      </c>
      <c r="J21" s="59">
        <v>365</v>
      </c>
      <c r="K21" s="59">
        <v>0</v>
      </c>
      <c r="L21" s="59">
        <f t="shared" si="5"/>
        <v>25</v>
      </c>
      <c r="M21" s="59">
        <v>25</v>
      </c>
      <c r="N21" s="59">
        <v>0</v>
      </c>
      <c r="O21" s="59">
        <f t="shared" si="6"/>
        <v>35</v>
      </c>
      <c r="P21" s="49">
        <v>35</v>
      </c>
      <c r="Q21" s="59">
        <v>0</v>
      </c>
    </row>
    <row r="22" spans="1:17" ht="20.25" customHeight="1">
      <c r="A22" s="58">
        <v>14</v>
      </c>
      <c r="B22" s="37" t="s">
        <v>297</v>
      </c>
      <c r="C22" s="59">
        <f t="shared" si="1"/>
        <v>1928</v>
      </c>
      <c r="D22" s="59">
        <f t="shared" si="2"/>
        <v>1928</v>
      </c>
      <c r="E22" s="59">
        <f t="shared" si="2"/>
        <v>0</v>
      </c>
      <c r="F22" s="59">
        <f t="shared" si="3"/>
        <v>711</v>
      </c>
      <c r="G22" s="59">
        <v>711</v>
      </c>
      <c r="H22" s="59">
        <v>0</v>
      </c>
      <c r="I22" s="59">
        <f t="shared" si="4"/>
        <v>1039</v>
      </c>
      <c r="J22" s="59">
        <v>1039</v>
      </c>
      <c r="K22" s="59">
        <v>0</v>
      </c>
      <c r="L22" s="59">
        <f t="shared" si="5"/>
        <v>25</v>
      </c>
      <c r="M22" s="59">
        <v>25</v>
      </c>
      <c r="N22" s="59">
        <v>0</v>
      </c>
      <c r="O22" s="59">
        <f t="shared" si="6"/>
        <v>153</v>
      </c>
      <c r="P22" s="49">
        <v>153</v>
      </c>
      <c r="Q22" s="59">
        <v>0</v>
      </c>
    </row>
    <row r="23" spans="1:17" ht="20.25" customHeight="1">
      <c r="A23" s="58">
        <v>15</v>
      </c>
      <c r="B23" s="37" t="s">
        <v>298</v>
      </c>
      <c r="C23" s="59">
        <f t="shared" si="1"/>
        <v>1513</v>
      </c>
      <c r="D23" s="59">
        <f t="shared" si="2"/>
        <v>1513</v>
      </c>
      <c r="E23" s="59">
        <f t="shared" si="2"/>
        <v>0</v>
      </c>
      <c r="F23" s="59">
        <f t="shared" si="3"/>
        <v>726</v>
      </c>
      <c r="G23" s="59">
        <v>726</v>
      </c>
      <c r="H23" s="59">
        <v>0</v>
      </c>
      <c r="I23" s="59">
        <f t="shared" si="4"/>
        <v>680</v>
      </c>
      <c r="J23" s="59">
        <v>680</v>
      </c>
      <c r="K23" s="59">
        <v>0</v>
      </c>
      <c r="L23" s="59">
        <f t="shared" si="5"/>
        <v>58</v>
      </c>
      <c r="M23" s="59">
        <v>58</v>
      </c>
      <c r="N23" s="59">
        <v>0</v>
      </c>
      <c r="O23" s="59">
        <f t="shared" si="6"/>
        <v>49</v>
      </c>
      <c r="P23" s="49">
        <v>49</v>
      </c>
      <c r="Q23" s="59">
        <v>0</v>
      </c>
    </row>
    <row r="24" spans="1:17" ht="20.25" customHeight="1">
      <c r="A24" s="58">
        <v>16</v>
      </c>
      <c r="B24" s="37" t="s">
        <v>299</v>
      </c>
      <c r="C24" s="59">
        <f t="shared" si="1"/>
        <v>1243</v>
      </c>
      <c r="D24" s="59">
        <f t="shared" si="2"/>
        <v>1243</v>
      </c>
      <c r="E24" s="59">
        <f t="shared" si="2"/>
        <v>0</v>
      </c>
      <c r="F24" s="59">
        <f t="shared" si="3"/>
        <v>688</v>
      </c>
      <c r="G24" s="59">
        <v>688</v>
      </c>
      <c r="H24" s="59">
        <v>0</v>
      </c>
      <c r="I24" s="59">
        <f t="shared" si="4"/>
        <v>363</v>
      </c>
      <c r="J24" s="59">
        <v>363</v>
      </c>
      <c r="K24" s="59">
        <v>0</v>
      </c>
      <c r="L24" s="59">
        <f t="shared" si="5"/>
        <v>74</v>
      </c>
      <c r="M24" s="59">
        <v>74</v>
      </c>
      <c r="N24" s="59">
        <v>0</v>
      </c>
      <c r="O24" s="59">
        <f t="shared" si="6"/>
        <v>118</v>
      </c>
      <c r="P24" s="49">
        <v>118</v>
      </c>
      <c r="Q24" s="59">
        <v>0</v>
      </c>
    </row>
    <row r="25" spans="1:17" ht="20.25" customHeight="1">
      <c r="A25" s="58">
        <v>17</v>
      </c>
      <c r="B25" s="37" t="s">
        <v>300</v>
      </c>
      <c r="C25" s="59">
        <f t="shared" si="1"/>
        <v>1225</v>
      </c>
      <c r="D25" s="59">
        <f t="shared" si="2"/>
        <v>1225</v>
      </c>
      <c r="E25" s="59">
        <f t="shared" si="2"/>
        <v>0</v>
      </c>
      <c r="F25" s="59">
        <f t="shared" si="3"/>
        <v>627</v>
      </c>
      <c r="G25" s="59">
        <v>627</v>
      </c>
      <c r="H25" s="59">
        <v>0</v>
      </c>
      <c r="I25" s="59">
        <f t="shared" si="4"/>
        <v>560</v>
      </c>
      <c r="J25" s="59">
        <v>560</v>
      </c>
      <c r="K25" s="59">
        <v>0</v>
      </c>
      <c r="L25" s="59">
        <f t="shared" si="5"/>
        <v>10</v>
      </c>
      <c r="M25" s="59">
        <v>10</v>
      </c>
      <c r="N25" s="59">
        <v>0</v>
      </c>
      <c r="O25" s="59">
        <f t="shared" si="6"/>
        <v>28</v>
      </c>
      <c r="P25" s="49">
        <v>28</v>
      </c>
      <c r="Q25" s="59">
        <v>0</v>
      </c>
    </row>
    <row r="26" spans="1:17" ht="20.25" customHeight="1">
      <c r="A26" s="58">
        <v>18</v>
      </c>
      <c r="B26" s="37" t="s">
        <v>301</v>
      </c>
      <c r="C26" s="59">
        <f t="shared" si="1"/>
        <v>3035</v>
      </c>
      <c r="D26" s="59">
        <f t="shared" si="2"/>
        <v>3035</v>
      </c>
      <c r="E26" s="59">
        <f t="shared" si="2"/>
        <v>0</v>
      </c>
      <c r="F26" s="59">
        <f t="shared" si="3"/>
        <v>589</v>
      </c>
      <c r="G26" s="59">
        <v>589</v>
      </c>
      <c r="H26" s="59">
        <v>0</v>
      </c>
      <c r="I26" s="59">
        <f t="shared" si="4"/>
        <v>1975</v>
      </c>
      <c r="J26" s="59">
        <v>1975</v>
      </c>
      <c r="K26" s="59">
        <v>0</v>
      </c>
      <c r="L26" s="59">
        <f t="shared" si="5"/>
        <v>310</v>
      </c>
      <c r="M26" s="59">
        <v>310</v>
      </c>
      <c r="N26" s="59">
        <v>0</v>
      </c>
      <c r="O26" s="59">
        <f t="shared" si="6"/>
        <v>161</v>
      </c>
      <c r="P26" s="49">
        <v>161</v>
      </c>
      <c r="Q26" s="59">
        <v>0</v>
      </c>
    </row>
    <row r="27" spans="1:17" ht="20.25" customHeight="1" thickBot="1">
      <c r="A27" s="275">
        <v>19</v>
      </c>
      <c r="B27" s="276" t="s">
        <v>302</v>
      </c>
      <c r="C27" s="277">
        <f t="shared" si="1"/>
        <v>1566</v>
      </c>
      <c r="D27" s="277">
        <f t="shared" si="2"/>
        <v>1566</v>
      </c>
      <c r="E27" s="277">
        <f t="shared" si="2"/>
        <v>0</v>
      </c>
      <c r="F27" s="277">
        <f t="shared" si="3"/>
        <v>597</v>
      </c>
      <c r="G27" s="277">
        <v>597</v>
      </c>
      <c r="H27" s="277">
        <v>0</v>
      </c>
      <c r="I27" s="277">
        <f t="shared" si="4"/>
        <v>959</v>
      </c>
      <c r="J27" s="277">
        <v>959</v>
      </c>
      <c r="K27" s="277">
        <v>0</v>
      </c>
      <c r="L27" s="277">
        <f t="shared" si="5"/>
        <v>10</v>
      </c>
      <c r="M27" s="277">
        <v>10</v>
      </c>
      <c r="N27" s="277">
        <v>0</v>
      </c>
      <c r="O27" s="277">
        <f t="shared" si="6"/>
        <v>0</v>
      </c>
      <c r="P27" s="278">
        <v>0</v>
      </c>
      <c r="Q27" s="277">
        <v>0</v>
      </c>
    </row>
    <row r="28" spans="1:17" ht="20.25" customHeight="1" hidden="1">
      <c r="A28" s="461" t="s">
        <v>339</v>
      </c>
      <c r="B28" s="461"/>
      <c r="C28" s="461"/>
      <c r="D28" s="461"/>
      <c r="E28" s="461"/>
      <c r="F28" s="461"/>
      <c r="G28" s="461"/>
      <c r="H28" s="461"/>
      <c r="I28" s="461"/>
      <c r="J28" s="461"/>
      <c r="K28" s="461"/>
      <c r="L28" s="461"/>
      <c r="M28" s="461"/>
      <c r="N28" s="461"/>
      <c r="O28" s="461"/>
      <c r="P28" s="461"/>
      <c r="Q28" s="461"/>
    </row>
    <row r="29" ht="15.75" hidden="1"/>
    <row r="30" ht="15.75" hidden="1"/>
    <row r="31" ht="15.75" hidden="1"/>
    <row r="32" ht="16.5" thickTop="1"/>
  </sheetData>
  <sheetProtection/>
  <mergeCells count="12">
    <mergeCell ref="N1:Q1"/>
    <mergeCell ref="A2:Q2"/>
    <mergeCell ref="A3:Q3"/>
    <mergeCell ref="J4:Q4"/>
    <mergeCell ref="A28:Q28"/>
    <mergeCell ref="A5:A6"/>
    <mergeCell ref="B5:B6"/>
    <mergeCell ref="C5:E5"/>
    <mergeCell ref="F5:H5"/>
    <mergeCell ref="I5:K5"/>
    <mergeCell ref="L5:N5"/>
    <mergeCell ref="O5:Q5"/>
  </mergeCells>
  <printOptions/>
  <pageMargins left="0.47" right="0.35" top="0.48" bottom="0.47" header="0.31496062992125984" footer="0.23"/>
  <pageSetup fitToHeight="0" fitToWidth="1"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AO20"/>
  <sheetViews>
    <sheetView view="pageBreakPreview" zoomScaleSheetLayoutView="100" zoomScalePageLayoutView="0" workbookViewId="0" topLeftCell="A1">
      <selection activeCell="D6" sqref="D6:E6"/>
    </sheetView>
  </sheetViews>
  <sheetFormatPr defaultColWidth="8.796875" defaultRowHeight="15"/>
  <cols>
    <col min="1" max="1" width="5.09765625" style="173" customWidth="1"/>
    <col min="2" max="2" width="23.19921875" style="173" customWidth="1"/>
    <col min="3" max="13" width="9.3984375" style="173" customWidth="1"/>
    <col min="14" max="14" width="14.19921875" style="174" customWidth="1"/>
    <col min="15" max="15" width="12.3984375" style="173" customWidth="1"/>
    <col min="16" max="16" width="9.8984375" style="175" customWidth="1"/>
    <col min="17" max="17" width="10.19921875" style="173" customWidth="1"/>
    <col min="18" max="38" width="9" style="173" customWidth="1"/>
    <col min="39" max="16384" width="9" style="173" customWidth="1"/>
  </cols>
  <sheetData>
    <row r="1" spans="1:13" ht="24" customHeight="1">
      <c r="A1" s="43"/>
      <c r="K1" s="466" t="s">
        <v>269</v>
      </c>
      <c r="L1" s="466"/>
      <c r="M1" s="466"/>
    </row>
    <row r="2" spans="1:16" s="11" customFormat="1" ht="37.5" customHeight="1">
      <c r="A2" s="467" t="s">
        <v>345</v>
      </c>
      <c r="B2" s="467"/>
      <c r="C2" s="467"/>
      <c r="D2" s="467"/>
      <c r="E2" s="467"/>
      <c r="F2" s="467"/>
      <c r="G2" s="467"/>
      <c r="H2" s="467"/>
      <c r="I2" s="467"/>
      <c r="J2" s="467"/>
      <c r="K2" s="467"/>
      <c r="L2" s="467"/>
      <c r="M2" s="467"/>
      <c r="N2" s="176"/>
      <c r="P2" s="177"/>
    </row>
    <row r="3" spans="1:16" s="11" customFormat="1" ht="18.75" customHeight="1">
      <c r="A3" s="477" t="str">
        <f>'PL44-NSX'!chuong_phuluc_43_name</f>
        <v>(Kèm theo Nghị quyết số       /NQ-HĐND ngày          tháng 12 năm 2023 của HĐND huyện Tuần Giáo)</v>
      </c>
      <c r="B3" s="477"/>
      <c r="C3" s="477"/>
      <c r="D3" s="477"/>
      <c r="E3" s="477"/>
      <c r="F3" s="477"/>
      <c r="G3" s="477"/>
      <c r="H3" s="477"/>
      <c r="I3" s="477"/>
      <c r="J3" s="477"/>
      <c r="K3" s="477"/>
      <c r="L3" s="477"/>
      <c r="M3" s="477"/>
      <c r="N3" s="176"/>
      <c r="P3" s="177"/>
    </row>
    <row r="4" spans="3:15" ht="27" customHeight="1">
      <c r="C4" s="178"/>
      <c r="I4" s="179"/>
      <c r="J4" s="468" t="s">
        <v>250</v>
      </c>
      <c r="K4" s="468"/>
      <c r="L4" s="468"/>
      <c r="M4" s="468"/>
      <c r="N4" s="176"/>
      <c r="O4" s="180"/>
    </row>
    <row r="5" spans="1:16" s="13" customFormat="1" ht="20.25" customHeight="1">
      <c r="A5" s="469" t="s">
        <v>60</v>
      </c>
      <c r="B5" s="471" t="s">
        <v>251</v>
      </c>
      <c r="C5" s="472" t="s">
        <v>346</v>
      </c>
      <c r="D5" s="473" t="s">
        <v>342</v>
      </c>
      <c r="E5" s="474"/>
      <c r="F5" s="474"/>
      <c r="G5" s="475"/>
      <c r="H5" s="469" t="s">
        <v>254</v>
      </c>
      <c r="I5" s="473" t="s">
        <v>343</v>
      </c>
      <c r="J5" s="474"/>
      <c r="K5" s="474"/>
      <c r="L5" s="475"/>
      <c r="M5" s="469" t="s">
        <v>347</v>
      </c>
      <c r="N5" s="181"/>
      <c r="P5" s="177"/>
    </row>
    <row r="6" spans="1:16" s="13" customFormat="1" ht="45" customHeight="1">
      <c r="A6" s="470"/>
      <c r="B6" s="471"/>
      <c r="C6" s="472"/>
      <c r="D6" s="472" t="s">
        <v>252</v>
      </c>
      <c r="E6" s="472"/>
      <c r="F6" s="472" t="s">
        <v>253</v>
      </c>
      <c r="G6" s="472" t="s">
        <v>264</v>
      </c>
      <c r="H6" s="470"/>
      <c r="I6" s="472" t="s">
        <v>252</v>
      </c>
      <c r="J6" s="472"/>
      <c r="K6" s="472" t="s">
        <v>253</v>
      </c>
      <c r="L6" s="472" t="s">
        <v>264</v>
      </c>
      <c r="M6" s="470"/>
      <c r="N6" s="181"/>
      <c r="P6" s="177"/>
    </row>
    <row r="7" spans="1:16" s="13" customFormat="1" ht="61.5" customHeight="1">
      <c r="A7" s="470"/>
      <c r="B7" s="471"/>
      <c r="C7" s="472"/>
      <c r="D7" s="61" t="s">
        <v>79</v>
      </c>
      <c r="E7" s="61" t="s">
        <v>255</v>
      </c>
      <c r="F7" s="472"/>
      <c r="G7" s="472"/>
      <c r="H7" s="476"/>
      <c r="I7" s="61" t="s">
        <v>79</v>
      </c>
      <c r="J7" s="61" t="s">
        <v>255</v>
      </c>
      <c r="K7" s="472"/>
      <c r="L7" s="472"/>
      <c r="M7" s="476"/>
      <c r="N7" s="181"/>
      <c r="P7" s="15"/>
    </row>
    <row r="8" spans="1:18" s="15" customFormat="1" ht="21.75" customHeight="1">
      <c r="A8" s="14" t="s">
        <v>10</v>
      </c>
      <c r="B8" s="14" t="s">
        <v>11</v>
      </c>
      <c r="C8" s="14">
        <v>1</v>
      </c>
      <c r="D8" s="14">
        <v>2</v>
      </c>
      <c r="E8" s="14">
        <v>3</v>
      </c>
      <c r="F8" s="14">
        <v>4</v>
      </c>
      <c r="G8" s="14" t="s">
        <v>265</v>
      </c>
      <c r="H8" s="14" t="s">
        <v>266</v>
      </c>
      <c r="I8" s="14">
        <v>7</v>
      </c>
      <c r="J8" s="14">
        <v>8</v>
      </c>
      <c r="K8" s="14">
        <v>9</v>
      </c>
      <c r="L8" s="14" t="s">
        <v>267</v>
      </c>
      <c r="M8" s="14" t="s">
        <v>268</v>
      </c>
      <c r="N8" s="182"/>
      <c r="O8" s="13"/>
      <c r="P8" s="177"/>
      <c r="Q8" s="13"/>
      <c r="R8" s="176"/>
    </row>
    <row r="9" spans="1:18" s="16" customFormat="1" ht="24.75" customHeight="1">
      <c r="A9" s="62"/>
      <c r="B9" s="183" t="s">
        <v>256</v>
      </c>
      <c r="C9" s="184">
        <f>SUM(C10:C17)</f>
        <v>2445.8499909999996</v>
      </c>
      <c r="D9" s="184">
        <f aca="true" t="shared" si="0" ref="D9:M9">SUM(D10:D17)</f>
        <v>2501.25</v>
      </c>
      <c r="E9" s="184">
        <f t="shared" si="0"/>
        <v>100</v>
      </c>
      <c r="F9" s="184">
        <f t="shared" si="0"/>
        <v>3088.15</v>
      </c>
      <c r="G9" s="184">
        <f t="shared" si="0"/>
        <v>-586.9000000000001</v>
      </c>
      <c r="H9" s="184">
        <f t="shared" si="0"/>
        <v>1858.949991</v>
      </c>
      <c r="I9" s="184">
        <f t="shared" si="0"/>
        <v>2561.25</v>
      </c>
      <c r="J9" s="184">
        <f t="shared" si="0"/>
        <v>0</v>
      </c>
      <c r="K9" s="184">
        <f t="shared" si="0"/>
        <v>2991.25</v>
      </c>
      <c r="L9" s="184">
        <f t="shared" si="0"/>
        <v>-430</v>
      </c>
      <c r="M9" s="184">
        <f t="shared" si="0"/>
        <v>1428.949991</v>
      </c>
      <c r="N9" s="185"/>
      <c r="O9" s="186"/>
      <c r="P9" s="187"/>
      <c r="Q9" s="187"/>
      <c r="R9" s="13"/>
    </row>
    <row r="10" spans="1:18" s="17" customFormat="1" ht="24.75" customHeight="1">
      <c r="A10" s="188">
        <v>1</v>
      </c>
      <c r="B10" s="189" t="s">
        <v>257</v>
      </c>
      <c r="C10" s="190">
        <v>346.190502</v>
      </c>
      <c r="D10" s="190">
        <v>250</v>
      </c>
      <c r="E10" s="190"/>
      <c r="F10" s="190">
        <v>240</v>
      </c>
      <c r="G10" s="190">
        <f>D10-F10</f>
        <v>10</v>
      </c>
      <c r="H10" s="190">
        <f>C10+D10-F10</f>
        <v>356.1905019999999</v>
      </c>
      <c r="I10" s="190">
        <v>250</v>
      </c>
      <c r="J10" s="190"/>
      <c r="K10" s="190">
        <v>250</v>
      </c>
      <c r="L10" s="190">
        <f>I10-K10</f>
        <v>0</v>
      </c>
      <c r="M10" s="190">
        <f>H10+I10-K10</f>
        <v>356.1905019999999</v>
      </c>
      <c r="N10" s="176"/>
      <c r="O10" s="176"/>
      <c r="P10" s="191"/>
      <c r="Q10" s="191"/>
      <c r="R10" s="13"/>
    </row>
    <row r="11" spans="1:18" s="17" customFormat="1" ht="24.75" customHeight="1">
      <c r="A11" s="188">
        <v>2</v>
      </c>
      <c r="B11" s="189" t="s">
        <v>258</v>
      </c>
      <c r="C11" s="190">
        <v>526.903157</v>
      </c>
      <c r="D11" s="190">
        <v>851.25</v>
      </c>
      <c r="E11" s="190"/>
      <c r="F11" s="190">
        <v>1378.15</v>
      </c>
      <c r="G11" s="190">
        <f aca="true" t="shared" si="1" ref="G11:G17">D11-F11</f>
        <v>-526.9000000000001</v>
      </c>
      <c r="H11" s="190">
        <f aca="true" t="shared" si="2" ref="H11:H17">C11+D11-F11</f>
        <v>0.003156999999873733</v>
      </c>
      <c r="I11" s="190">
        <v>851.25</v>
      </c>
      <c r="J11" s="190"/>
      <c r="K11" s="190">
        <v>851.25</v>
      </c>
      <c r="L11" s="190">
        <f aca="true" t="shared" si="3" ref="L11:L17">I11-K11</f>
        <v>0</v>
      </c>
      <c r="M11" s="190">
        <f aca="true" t="shared" si="4" ref="M11:M17">H11+I11-K11</f>
        <v>0.003156999999873733</v>
      </c>
      <c r="N11" s="176"/>
      <c r="O11" s="176"/>
      <c r="P11" s="191"/>
      <c r="Q11" s="191"/>
      <c r="R11" s="13"/>
    </row>
    <row r="12" spans="1:18" s="17" customFormat="1" ht="24.75" customHeight="1">
      <c r="A12" s="188">
        <v>3</v>
      </c>
      <c r="B12" s="192" t="s">
        <v>341</v>
      </c>
      <c r="C12" s="190">
        <v>188.702</v>
      </c>
      <c r="D12" s="190">
        <v>170</v>
      </c>
      <c r="E12" s="190"/>
      <c r="F12" s="190">
        <v>200</v>
      </c>
      <c r="G12" s="190">
        <f t="shared" si="1"/>
        <v>-30</v>
      </c>
      <c r="H12" s="190">
        <f t="shared" si="2"/>
        <v>158.702</v>
      </c>
      <c r="I12" s="190">
        <v>200</v>
      </c>
      <c r="J12" s="190"/>
      <c r="K12" s="190">
        <v>250</v>
      </c>
      <c r="L12" s="190">
        <f t="shared" si="3"/>
        <v>-50</v>
      </c>
      <c r="M12" s="190">
        <f t="shared" si="4"/>
        <v>108.702</v>
      </c>
      <c r="N12" s="176"/>
      <c r="O12" s="176"/>
      <c r="P12" s="191"/>
      <c r="Q12" s="191"/>
      <c r="R12" s="13"/>
    </row>
    <row r="13" spans="1:41" s="17" customFormat="1" ht="24.75" customHeight="1">
      <c r="A13" s="188">
        <v>4</v>
      </c>
      <c r="B13" s="189" t="s">
        <v>259</v>
      </c>
      <c r="C13" s="190">
        <v>167.355722</v>
      </c>
      <c r="D13" s="190">
        <v>300</v>
      </c>
      <c r="E13" s="190"/>
      <c r="F13" s="190">
        <v>350</v>
      </c>
      <c r="G13" s="190">
        <f t="shared" si="1"/>
        <v>-50</v>
      </c>
      <c r="H13" s="190">
        <f t="shared" si="2"/>
        <v>117.35572200000001</v>
      </c>
      <c r="I13" s="190">
        <v>300</v>
      </c>
      <c r="J13" s="190"/>
      <c r="K13" s="190">
        <v>350</v>
      </c>
      <c r="L13" s="190">
        <f t="shared" si="3"/>
        <v>-50</v>
      </c>
      <c r="M13" s="190">
        <f t="shared" si="4"/>
        <v>67.35572200000001</v>
      </c>
      <c r="N13" s="176"/>
      <c r="O13" s="13"/>
      <c r="P13" s="191"/>
      <c r="Q13" s="191"/>
      <c r="R13" s="176"/>
      <c r="AN13" s="18"/>
      <c r="AO13" s="18"/>
    </row>
    <row r="14" spans="1:41" s="17" customFormat="1" ht="24.75" customHeight="1">
      <c r="A14" s="188">
        <v>5</v>
      </c>
      <c r="B14" s="189" t="s">
        <v>260</v>
      </c>
      <c r="C14" s="190">
        <v>41.893579</v>
      </c>
      <c r="D14" s="190">
        <v>300</v>
      </c>
      <c r="E14" s="190"/>
      <c r="F14" s="190">
        <v>300</v>
      </c>
      <c r="G14" s="190">
        <f t="shared" si="1"/>
        <v>0</v>
      </c>
      <c r="H14" s="190">
        <f t="shared" si="2"/>
        <v>41.89357899999999</v>
      </c>
      <c r="I14" s="190">
        <v>300</v>
      </c>
      <c r="J14" s="190"/>
      <c r="K14" s="190">
        <v>300</v>
      </c>
      <c r="L14" s="190">
        <f t="shared" si="3"/>
        <v>0</v>
      </c>
      <c r="M14" s="190">
        <f t="shared" si="4"/>
        <v>41.89357899999999</v>
      </c>
      <c r="N14" s="176"/>
      <c r="O14" s="13"/>
      <c r="P14" s="191"/>
      <c r="Q14" s="191"/>
      <c r="R14" s="176"/>
      <c r="AN14" s="18"/>
      <c r="AO14" s="18"/>
    </row>
    <row r="15" spans="1:18" s="17" customFormat="1" ht="24.75" customHeight="1">
      <c r="A15" s="188">
        <v>6</v>
      </c>
      <c r="B15" s="189" t="s">
        <v>261</v>
      </c>
      <c r="C15" s="190">
        <v>728.744188</v>
      </c>
      <c r="D15" s="190">
        <v>350</v>
      </c>
      <c r="E15" s="190"/>
      <c r="F15" s="190">
        <v>300</v>
      </c>
      <c r="G15" s="190">
        <f t="shared" si="1"/>
        <v>50</v>
      </c>
      <c r="H15" s="190">
        <f t="shared" si="2"/>
        <v>778.7441880000001</v>
      </c>
      <c r="I15" s="190">
        <v>500</v>
      </c>
      <c r="J15" s="190"/>
      <c r="K15" s="190">
        <v>800</v>
      </c>
      <c r="L15" s="190">
        <f t="shared" si="3"/>
        <v>-300</v>
      </c>
      <c r="M15" s="190">
        <f t="shared" si="4"/>
        <v>478.7441880000001</v>
      </c>
      <c r="N15" s="176"/>
      <c r="O15" s="13"/>
      <c r="P15" s="191"/>
      <c r="Q15" s="191"/>
      <c r="R15" s="13"/>
    </row>
    <row r="16" spans="1:18" s="17" customFormat="1" ht="24.75" customHeight="1">
      <c r="A16" s="188">
        <v>7</v>
      </c>
      <c r="B16" s="189" t="s">
        <v>263</v>
      </c>
      <c r="C16" s="190">
        <v>278.460843</v>
      </c>
      <c r="D16" s="190">
        <v>50</v>
      </c>
      <c r="E16" s="190"/>
      <c r="F16" s="190">
        <v>70</v>
      </c>
      <c r="G16" s="190">
        <f t="shared" si="1"/>
        <v>-20</v>
      </c>
      <c r="H16" s="190">
        <f t="shared" si="2"/>
        <v>258.460843</v>
      </c>
      <c r="I16" s="190">
        <v>30</v>
      </c>
      <c r="J16" s="190"/>
      <c r="K16" s="190">
        <v>50</v>
      </c>
      <c r="L16" s="190">
        <f t="shared" si="3"/>
        <v>-20</v>
      </c>
      <c r="M16" s="190">
        <f t="shared" si="4"/>
        <v>238.460843</v>
      </c>
      <c r="N16" s="176"/>
      <c r="O16" s="13"/>
      <c r="P16" s="191"/>
      <c r="Q16" s="191"/>
      <c r="R16" s="13"/>
    </row>
    <row r="17" spans="1:18" s="17" customFormat="1" ht="24.75" customHeight="1">
      <c r="A17" s="188">
        <v>8</v>
      </c>
      <c r="B17" s="189" t="s">
        <v>262</v>
      </c>
      <c r="C17" s="190">
        <v>167.6</v>
      </c>
      <c r="D17" s="190">
        <v>230</v>
      </c>
      <c r="E17" s="190">
        <v>100</v>
      </c>
      <c r="F17" s="190">
        <v>250</v>
      </c>
      <c r="G17" s="190">
        <f t="shared" si="1"/>
        <v>-20</v>
      </c>
      <c r="H17" s="190">
        <f t="shared" si="2"/>
        <v>147.60000000000002</v>
      </c>
      <c r="I17" s="190">
        <f>230-100</f>
        <v>130</v>
      </c>
      <c r="J17" s="190"/>
      <c r="K17" s="190">
        <f>240-100</f>
        <v>140</v>
      </c>
      <c r="L17" s="190">
        <f t="shared" si="3"/>
        <v>-10</v>
      </c>
      <c r="M17" s="190">
        <f t="shared" si="4"/>
        <v>137.60000000000002</v>
      </c>
      <c r="N17" s="176"/>
      <c r="O17" s="13"/>
      <c r="P17" s="191"/>
      <c r="Q17" s="191"/>
      <c r="R17" s="13"/>
    </row>
    <row r="18" spans="14:18" ht="9.75" customHeight="1">
      <c r="N18" s="193"/>
      <c r="O18" s="12"/>
      <c r="P18" s="194"/>
      <c r="Q18" s="12"/>
      <c r="R18" s="12"/>
    </row>
    <row r="19" spans="9:18" ht="18.75">
      <c r="I19" s="195"/>
      <c r="N19" s="193"/>
      <c r="O19" s="12"/>
      <c r="P19" s="194"/>
      <c r="Q19" s="12"/>
      <c r="R19" s="12"/>
    </row>
    <row r="20" ht="18.75">
      <c r="I20" s="196"/>
    </row>
  </sheetData>
  <sheetProtection/>
  <mergeCells count="17">
    <mergeCell ref="M5:M7"/>
    <mergeCell ref="I5:L5"/>
    <mergeCell ref="L6:L7"/>
    <mergeCell ref="G6:G7"/>
    <mergeCell ref="D6:E6"/>
    <mergeCell ref="F6:F7"/>
    <mergeCell ref="I6:J6"/>
    <mergeCell ref="K1:M1"/>
    <mergeCell ref="A2:M2"/>
    <mergeCell ref="J4:M4"/>
    <mergeCell ref="A5:A7"/>
    <mergeCell ref="B5:B7"/>
    <mergeCell ref="C5:C7"/>
    <mergeCell ref="D5:G5"/>
    <mergeCell ref="K6:K7"/>
    <mergeCell ref="H5:H7"/>
    <mergeCell ref="A3:M3"/>
  </mergeCells>
  <printOptions/>
  <pageMargins left="0.31496062992125984" right="0.2755905511811024" top="0.3937007874015748" bottom="0.7480314960629921" header="0.31496062992125984" footer="0.31496062992125984"/>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F18"/>
  <sheetViews>
    <sheetView view="pageBreakPreview" zoomScaleSheetLayoutView="100" zoomScalePageLayoutView="0" workbookViewId="0" topLeftCell="A1">
      <selection activeCell="B8" sqref="B8"/>
    </sheetView>
  </sheetViews>
  <sheetFormatPr defaultColWidth="8.796875" defaultRowHeight="15"/>
  <cols>
    <col min="1" max="1" width="5.59765625" style="20" customWidth="1"/>
    <col min="2" max="2" width="40.5" style="20" customWidth="1"/>
    <col min="3" max="5" width="13.3984375" style="20" customWidth="1"/>
    <col min="6" max="16384" width="9" style="20" customWidth="1"/>
  </cols>
  <sheetData>
    <row r="1" spans="1:6" ht="25.5" customHeight="1">
      <c r="A1" s="33"/>
      <c r="B1" s="135"/>
      <c r="C1" s="135"/>
      <c r="D1" s="135"/>
      <c r="E1" s="136" t="s">
        <v>275</v>
      </c>
      <c r="F1" s="25"/>
    </row>
    <row r="2" spans="1:5" ht="51" customHeight="1">
      <c r="A2" s="478" t="s">
        <v>348</v>
      </c>
      <c r="B2" s="478"/>
      <c r="C2" s="478"/>
      <c r="D2" s="478"/>
      <c r="E2" s="478"/>
    </row>
    <row r="3" spans="1:5" ht="19.5" customHeight="1">
      <c r="A3" s="479" t="str">
        <f>'PL45-Quỹ'!A3:M3</f>
        <v>(Kèm theo Nghị quyết số       /NQ-HĐND ngày          tháng 12 năm 2023 của HĐND huyện Tuần Giáo)</v>
      </c>
      <c r="B3" s="479"/>
      <c r="C3" s="479"/>
      <c r="D3" s="479"/>
      <c r="E3" s="479"/>
    </row>
    <row r="4" spans="1:5" ht="30.75" customHeight="1">
      <c r="A4" s="135"/>
      <c r="B4" s="135"/>
      <c r="C4" s="135"/>
      <c r="D4" s="480" t="s">
        <v>270</v>
      </c>
      <c r="E4" s="480"/>
    </row>
    <row r="5" spans="1:5" s="8" customFormat="1" ht="57.75" customHeight="1">
      <c r="A5" s="21" t="s">
        <v>60</v>
      </c>
      <c r="B5" s="21" t="s">
        <v>6</v>
      </c>
      <c r="C5" s="21" t="s">
        <v>342</v>
      </c>
      <c r="D5" s="21" t="s">
        <v>343</v>
      </c>
      <c r="E5" s="21" t="s">
        <v>94</v>
      </c>
    </row>
    <row r="6" spans="1:5" s="8" customFormat="1" ht="17.25" customHeight="1">
      <c r="A6" s="22" t="s">
        <v>10</v>
      </c>
      <c r="B6" s="22" t="s">
        <v>11</v>
      </c>
      <c r="C6" s="22">
        <v>1</v>
      </c>
      <c r="D6" s="22">
        <v>2</v>
      </c>
      <c r="E6" s="22" t="s">
        <v>276</v>
      </c>
    </row>
    <row r="7" spans="1:5" s="2" customFormat="1" ht="24.75" customHeight="1">
      <c r="A7" s="137"/>
      <c r="B7" s="138" t="s">
        <v>30</v>
      </c>
      <c r="C7" s="139">
        <f>+C8+C10+C12+C14</f>
        <v>673</v>
      </c>
      <c r="D7" s="139">
        <f>+D8+D10+D12+D14</f>
        <v>676</v>
      </c>
      <c r="E7" s="140">
        <f>D7/C7*100</f>
        <v>100.44576523031203</v>
      </c>
    </row>
    <row r="8" spans="1:5" s="2" customFormat="1" ht="24.75" customHeight="1">
      <c r="A8" s="141">
        <v>1</v>
      </c>
      <c r="B8" s="142" t="s">
        <v>271</v>
      </c>
      <c r="C8" s="143">
        <f>C9</f>
        <v>88</v>
      </c>
      <c r="D8" s="143">
        <f>D9</f>
        <v>96</v>
      </c>
      <c r="E8" s="144">
        <f aca="true" t="shared" si="0" ref="E8:E15">D8/C8*100</f>
        <v>109.09090909090908</v>
      </c>
    </row>
    <row r="9" spans="1:5" s="2" customFormat="1" ht="24.75" customHeight="1">
      <c r="A9" s="145"/>
      <c r="B9" s="142" t="s">
        <v>217</v>
      </c>
      <c r="C9" s="143">
        <v>88</v>
      </c>
      <c r="D9" s="143">
        <v>96</v>
      </c>
      <c r="E9" s="144">
        <f t="shared" si="0"/>
        <v>109.09090909090908</v>
      </c>
    </row>
    <row r="10" spans="1:5" s="2" customFormat="1" ht="24.75" customHeight="1">
      <c r="A10" s="141">
        <v>2</v>
      </c>
      <c r="B10" s="142" t="s">
        <v>38</v>
      </c>
      <c r="C10" s="143">
        <f>C11</f>
        <v>60</v>
      </c>
      <c r="D10" s="143">
        <f>D11</f>
        <v>65</v>
      </c>
      <c r="E10" s="144">
        <f t="shared" si="0"/>
        <v>108.33333333333333</v>
      </c>
    </row>
    <row r="11" spans="1:5" s="2" customFormat="1" ht="24.75" customHeight="1">
      <c r="A11" s="141"/>
      <c r="B11" s="142" t="s">
        <v>272</v>
      </c>
      <c r="C11" s="143">
        <v>60</v>
      </c>
      <c r="D11" s="143">
        <v>65</v>
      </c>
      <c r="E11" s="144">
        <f t="shared" si="0"/>
        <v>108.33333333333333</v>
      </c>
    </row>
    <row r="12" spans="1:5" ht="24.75" customHeight="1">
      <c r="A12" s="141">
        <f>A10+1</f>
        <v>3</v>
      </c>
      <c r="B12" s="142" t="s">
        <v>273</v>
      </c>
      <c r="C12" s="143">
        <f>C13</f>
        <v>100</v>
      </c>
      <c r="D12" s="143">
        <f>D13</f>
        <v>120</v>
      </c>
      <c r="E12" s="144">
        <f t="shared" si="0"/>
        <v>120</v>
      </c>
    </row>
    <row r="13" spans="1:5" ht="24.75" customHeight="1">
      <c r="A13" s="141"/>
      <c r="B13" s="142" t="s">
        <v>272</v>
      </c>
      <c r="C13" s="143">
        <v>100</v>
      </c>
      <c r="D13" s="143">
        <v>120</v>
      </c>
      <c r="E13" s="144">
        <f t="shared" si="0"/>
        <v>120</v>
      </c>
    </row>
    <row r="14" spans="1:5" ht="24.75" customHeight="1">
      <c r="A14" s="141">
        <v>4</v>
      </c>
      <c r="B14" s="142" t="s">
        <v>216</v>
      </c>
      <c r="C14" s="143">
        <f>C15</f>
        <v>425</v>
      </c>
      <c r="D14" s="143">
        <f>D15</f>
        <v>395</v>
      </c>
      <c r="E14" s="144">
        <f t="shared" si="0"/>
        <v>92.94117647058823</v>
      </c>
    </row>
    <row r="15" spans="1:5" ht="24.75" customHeight="1">
      <c r="A15" s="141"/>
      <c r="B15" s="142" t="s">
        <v>274</v>
      </c>
      <c r="C15" s="143">
        <v>425</v>
      </c>
      <c r="D15" s="143">
        <v>395</v>
      </c>
      <c r="E15" s="144">
        <f t="shared" si="0"/>
        <v>92.94117647058823</v>
      </c>
    </row>
    <row r="17" ht="15.75">
      <c r="C17" s="23"/>
    </row>
    <row r="18" ht="15.75">
      <c r="C18" s="24"/>
    </row>
  </sheetData>
  <sheetProtection/>
  <mergeCells count="3">
    <mergeCell ref="A2:E2"/>
    <mergeCell ref="A3:E3"/>
    <mergeCell ref="D4:E4"/>
  </mergeCells>
  <printOptions/>
  <pageMargins left="0.5511811023622047" right="0.3937007874015748"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7"/>
  <sheetViews>
    <sheetView view="pageBreakPreview" zoomScale="90" zoomScaleSheetLayoutView="90" zoomScalePageLayoutView="0" workbookViewId="0" topLeftCell="A8">
      <selection activeCell="D23" activeCellId="3" sqref="D16 D17 D26 D23"/>
    </sheetView>
  </sheetViews>
  <sheetFormatPr defaultColWidth="8.796875" defaultRowHeight="15"/>
  <cols>
    <col min="1" max="1" width="5.5" style="48" customWidth="1"/>
    <col min="2" max="2" width="41.5" style="48" customWidth="1"/>
    <col min="3" max="4" width="12.3984375" style="48" customWidth="1"/>
    <col min="5" max="6" width="9.69921875" style="48" customWidth="1"/>
    <col min="7" max="8" width="9.8984375" style="48" customWidth="1"/>
    <col min="9" max="9" width="6" style="48" customWidth="1"/>
    <col min="10" max="16384" width="9" style="48" customWidth="1"/>
  </cols>
  <sheetData>
    <row r="1" spans="1:8" ht="26.25" customHeight="1">
      <c r="A1" s="65"/>
      <c r="B1" s="66"/>
      <c r="C1" s="67"/>
      <c r="D1" s="67"/>
      <c r="E1" s="67"/>
      <c r="F1" s="67"/>
      <c r="H1" s="68" t="s">
        <v>204</v>
      </c>
    </row>
    <row r="2" spans="1:8" ht="32.25" customHeight="1">
      <c r="A2" s="412" t="s">
        <v>351</v>
      </c>
      <c r="B2" s="412"/>
      <c r="C2" s="412"/>
      <c r="D2" s="412"/>
      <c r="E2" s="412"/>
      <c r="F2" s="412"/>
      <c r="G2" s="412"/>
      <c r="H2" s="412"/>
    </row>
    <row r="3" spans="1:8" ht="21" customHeight="1">
      <c r="A3" s="415" t="str">
        <f>PL15!A3</f>
        <v>(Kèm theo Nghị quyết số       /NQ-HĐND ngày          tháng 12 năm 2023 của HĐND huyện Tuần Giáo)</v>
      </c>
      <c r="B3" s="415"/>
      <c r="C3" s="415"/>
      <c r="D3" s="415"/>
      <c r="E3" s="415"/>
      <c r="F3" s="415"/>
      <c r="G3" s="415"/>
      <c r="H3" s="415"/>
    </row>
    <row r="4" spans="1:8" ht="19.5" customHeight="1">
      <c r="A4" s="87"/>
      <c r="B4" s="87"/>
      <c r="G4" s="88"/>
      <c r="H4" s="66" t="s">
        <v>90</v>
      </c>
    </row>
    <row r="5" spans="1:8" ht="27" customHeight="1">
      <c r="A5" s="416" t="s">
        <v>60</v>
      </c>
      <c r="B5" s="413" t="s">
        <v>6</v>
      </c>
      <c r="C5" s="413" t="s">
        <v>342</v>
      </c>
      <c r="D5" s="413"/>
      <c r="E5" s="413" t="s">
        <v>350</v>
      </c>
      <c r="F5" s="414"/>
      <c r="G5" s="413" t="s">
        <v>94</v>
      </c>
      <c r="H5" s="413"/>
    </row>
    <row r="6" spans="1:8" ht="23.25" customHeight="1">
      <c r="A6" s="416"/>
      <c r="B6" s="413"/>
      <c r="C6" s="60" t="s">
        <v>8</v>
      </c>
      <c r="D6" s="60" t="s">
        <v>4</v>
      </c>
      <c r="E6" s="60" t="s">
        <v>8</v>
      </c>
      <c r="F6" s="60" t="s">
        <v>4</v>
      </c>
      <c r="G6" s="60" t="s">
        <v>8</v>
      </c>
      <c r="H6" s="60" t="s">
        <v>4</v>
      </c>
    </row>
    <row r="7" spans="1:8" ht="29.25" customHeight="1">
      <c r="A7" s="416"/>
      <c r="B7" s="413"/>
      <c r="C7" s="60" t="s">
        <v>5</v>
      </c>
      <c r="D7" s="60" t="s">
        <v>9</v>
      </c>
      <c r="E7" s="60" t="s">
        <v>5</v>
      </c>
      <c r="F7" s="60" t="s">
        <v>9</v>
      </c>
      <c r="G7" s="60" t="s">
        <v>5</v>
      </c>
      <c r="H7" s="60" t="s">
        <v>9</v>
      </c>
    </row>
    <row r="8" spans="1:8" ht="20.25" customHeight="1">
      <c r="A8" s="47" t="s">
        <v>10</v>
      </c>
      <c r="B8" s="47" t="s">
        <v>11</v>
      </c>
      <c r="C8" s="47">
        <v>1</v>
      </c>
      <c r="D8" s="47">
        <f>C8+1</f>
        <v>2</v>
      </c>
      <c r="E8" s="47">
        <f>D8+1</f>
        <v>3</v>
      </c>
      <c r="F8" s="47">
        <f>E8+1</f>
        <v>4</v>
      </c>
      <c r="G8" s="47" t="s">
        <v>63</v>
      </c>
      <c r="H8" s="47" t="s">
        <v>64</v>
      </c>
    </row>
    <row r="9" spans="1:10" ht="20.25" customHeight="1">
      <c r="A9" s="60"/>
      <c r="B9" s="83" t="s">
        <v>105</v>
      </c>
      <c r="C9" s="80">
        <f>C10+C38</f>
        <v>60000</v>
      </c>
      <c r="D9" s="80">
        <f>D10+D38</f>
        <v>56300</v>
      </c>
      <c r="E9" s="80">
        <f>E10+E38</f>
        <v>55000</v>
      </c>
      <c r="F9" s="80">
        <f>F10+F38</f>
        <v>51000</v>
      </c>
      <c r="G9" s="85">
        <f aca="true" t="shared" si="0" ref="G9:G14">E9/C9*100</f>
        <v>91.66666666666666</v>
      </c>
      <c r="H9" s="85">
        <f aca="true" t="shared" si="1" ref="H9:H14">F9/D9*100</f>
        <v>90.58614564831261</v>
      </c>
      <c r="I9" s="89"/>
      <c r="J9" s="89"/>
    </row>
    <row r="10" spans="1:8" ht="20.25" customHeight="1">
      <c r="A10" s="60" t="s">
        <v>20</v>
      </c>
      <c r="B10" s="83" t="s">
        <v>12</v>
      </c>
      <c r="C10" s="80">
        <f>C15+C26+C25+C27+C33+C32+C31+C20+C35+C34+C11</f>
        <v>60000</v>
      </c>
      <c r="D10" s="80">
        <f>D15+D26+D25+D27+D33+D32+D31+D20+D35+D34+D11</f>
        <v>56300</v>
      </c>
      <c r="E10" s="80">
        <f>E15+E26+E25+E27+E33+E32+E31+E20+E35+E34+E11</f>
        <v>55000</v>
      </c>
      <c r="F10" s="80">
        <f>F15+F26+F25+F27+F33+F32+F31+F20+F35+F34+F11</f>
        <v>51000</v>
      </c>
      <c r="G10" s="85">
        <f t="shared" si="0"/>
        <v>91.66666666666666</v>
      </c>
      <c r="H10" s="85">
        <f t="shared" si="1"/>
        <v>90.58614564831261</v>
      </c>
    </row>
    <row r="11" spans="1:8" ht="20.25" customHeight="1">
      <c r="A11" s="47">
        <v>1</v>
      </c>
      <c r="B11" s="81" t="s">
        <v>278</v>
      </c>
      <c r="C11" s="279">
        <f>SUM(C12:C14)</f>
        <v>1490</v>
      </c>
      <c r="D11" s="279">
        <f>SUM(D12:D14)</f>
        <v>1490</v>
      </c>
      <c r="E11" s="279">
        <f>SUM(E12:E14)</f>
        <v>1000</v>
      </c>
      <c r="F11" s="279">
        <f>SUM(F12:F14)</f>
        <v>1000</v>
      </c>
      <c r="G11" s="86">
        <f t="shared" si="0"/>
        <v>67.11409395973155</v>
      </c>
      <c r="H11" s="86">
        <f t="shared" si="1"/>
        <v>67.11409395973155</v>
      </c>
    </row>
    <row r="12" spans="1:8" s="88" customFormat="1" ht="20.25" customHeight="1">
      <c r="A12" s="47"/>
      <c r="B12" s="81" t="s">
        <v>279</v>
      </c>
      <c r="C12" s="280">
        <v>50</v>
      </c>
      <c r="D12" s="280">
        <v>50</v>
      </c>
      <c r="E12" s="280"/>
      <c r="F12" s="280"/>
      <c r="G12" s="86">
        <f t="shared" si="0"/>
        <v>0</v>
      </c>
      <c r="H12" s="86">
        <f t="shared" si="1"/>
        <v>0</v>
      </c>
    </row>
    <row r="13" spans="1:8" s="88" customFormat="1" ht="20.25" customHeight="1">
      <c r="A13" s="47"/>
      <c r="B13" s="81" t="s">
        <v>199</v>
      </c>
      <c r="C13" s="280">
        <v>80</v>
      </c>
      <c r="D13" s="280">
        <v>80</v>
      </c>
      <c r="E13" s="280"/>
      <c r="F13" s="280"/>
      <c r="G13" s="86">
        <f t="shared" si="0"/>
        <v>0</v>
      </c>
      <c r="H13" s="86">
        <f t="shared" si="1"/>
        <v>0</v>
      </c>
    </row>
    <row r="14" spans="1:8" s="88" customFormat="1" ht="20.25" customHeight="1">
      <c r="A14" s="47"/>
      <c r="B14" s="81" t="s">
        <v>200</v>
      </c>
      <c r="C14" s="280">
        <v>1360</v>
      </c>
      <c r="D14" s="280">
        <v>1360</v>
      </c>
      <c r="E14" s="280">
        <v>1000</v>
      </c>
      <c r="F14" s="280">
        <v>1000</v>
      </c>
      <c r="G14" s="86">
        <f t="shared" si="0"/>
        <v>73.52941176470588</v>
      </c>
      <c r="H14" s="86">
        <f t="shared" si="1"/>
        <v>73.52941176470588</v>
      </c>
    </row>
    <row r="15" spans="1:8" s="88" customFormat="1" ht="20.25" customHeight="1">
      <c r="A15" s="47">
        <v>2</v>
      </c>
      <c r="B15" s="81" t="s">
        <v>3</v>
      </c>
      <c r="C15" s="279">
        <f>SUM(C16:C19)</f>
        <v>19253</v>
      </c>
      <c r="D15" s="279">
        <f>SUM(D16:D19)</f>
        <v>19253</v>
      </c>
      <c r="E15" s="279">
        <f>SUM(E16:E19)</f>
        <v>20300</v>
      </c>
      <c r="F15" s="279">
        <f>SUM(F16:F19)</f>
        <v>20300</v>
      </c>
      <c r="G15" s="86">
        <f aca="true" t="shared" si="2" ref="G15:H17">E15/C15*100</f>
        <v>105.4381135407469</v>
      </c>
      <c r="H15" s="86">
        <f t="shared" si="2"/>
        <v>105.4381135407469</v>
      </c>
    </row>
    <row r="16" spans="1:8" ht="20.25" customHeight="1">
      <c r="A16" s="82"/>
      <c r="B16" s="81" t="s">
        <v>198</v>
      </c>
      <c r="C16" s="516">
        <v>6285</v>
      </c>
      <c r="D16" s="516">
        <f>C16</f>
        <v>6285</v>
      </c>
      <c r="E16" s="280">
        <v>7200</v>
      </c>
      <c r="F16" s="280">
        <v>7200</v>
      </c>
      <c r="G16" s="86">
        <f t="shared" si="2"/>
        <v>114.55847255369929</v>
      </c>
      <c r="H16" s="86">
        <f t="shared" si="2"/>
        <v>114.55847255369929</v>
      </c>
    </row>
    <row r="17" spans="1:8" ht="20.25" customHeight="1">
      <c r="A17" s="82"/>
      <c r="B17" s="81" t="s">
        <v>199</v>
      </c>
      <c r="C17" s="516">
        <v>1220</v>
      </c>
      <c r="D17" s="516">
        <f>C17</f>
        <v>1220</v>
      </c>
      <c r="E17" s="280">
        <v>1200</v>
      </c>
      <c r="F17" s="280">
        <v>1200</v>
      </c>
      <c r="G17" s="86">
        <f t="shared" si="2"/>
        <v>98.36065573770492</v>
      </c>
      <c r="H17" s="86">
        <f t="shared" si="2"/>
        <v>98.36065573770492</v>
      </c>
    </row>
    <row r="18" spans="1:8" ht="20.25" customHeight="1">
      <c r="A18" s="82"/>
      <c r="B18" s="81" t="s">
        <v>353</v>
      </c>
      <c r="C18" s="516">
        <v>8</v>
      </c>
      <c r="D18" s="516">
        <f>C18</f>
        <v>8</v>
      </c>
      <c r="E18" s="280"/>
      <c r="F18" s="280"/>
      <c r="G18" s="86"/>
      <c r="H18" s="86"/>
    </row>
    <row r="19" spans="1:8" ht="20.25" customHeight="1">
      <c r="A19" s="82"/>
      <c r="B19" s="81" t="s">
        <v>200</v>
      </c>
      <c r="C19" s="516">
        <v>11740</v>
      </c>
      <c r="D19" s="516">
        <f>C19</f>
        <v>11740</v>
      </c>
      <c r="E19" s="280">
        <v>11900</v>
      </c>
      <c r="F19" s="280">
        <v>11900</v>
      </c>
      <c r="G19" s="86">
        <f>E19/C19*100</f>
        <v>101.36286201022146</v>
      </c>
      <c r="H19" s="86">
        <f>F19/D19*100</f>
        <v>101.36286201022146</v>
      </c>
    </row>
    <row r="20" spans="1:8" ht="20.25" customHeight="1">
      <c r="A20" s="47">
        <v>3</v>
      </c>
      <c r="B20" s="81" t="s">
        <v>280</v>
      </c>
      <c r="C20" s="279">
        <f>+C21+C24</f>
        <v>3012</v>
      </c>
      <c r="D20" s="279">
        <f>+D21+D24</f>
        <v>1122</v>
      </c>
      <c r="E20" s="279">
        <f>+E21+E24</f>
        <v>2700</v>
      </c>
      <c r="F20" s="279">
        <f>+F21+F24</f>
        <v>880</v>
      </c>
      <c r="G20" s="86">
        <f>E20/C20*100</f>
        <v>89.64143426294821</v>
      </c>
      <c r="H20" s="86">
        <f>F20/D20*100</f>
        <v>78.43137254901961</v>
      </c>
    </row>
    <row r="21" spans="1:8" ht="20.25" customHeight="1">
      <c r="A21" s="47"/>
      <c r="B21" s="90" t="s">
        <v>281</v>
      </c>
      <c r="C21" s="280">
        <f>C22+C23</f>
        <v>2700</v>
      </c>
      <c r="D21" s="280">
        <f>D22+D23</f>
        <v>810</v>
      </c>
      <c r="E21" s="280">
        <f>E22+E23</f>
        <v>2600</v>
      </c>
      <c r="F21" s="280">
        <f>F22+F23</f>
        <v>780</v>
      </c>
      <c r="G21" s="86">
        <f>E21/C21*100</f>
        <v>96.29629629629629</v>
      </c>
      <c r="H21" s="86"/>
    </row>
    <row r="22" spans="1:8" s="88" customFormat="1" ht="20.25" customHeight="1">
      <c r="A22" s="47"/>
      <c r="B22" s="90" t="s">
        <v>282</v>
      </c>
      <c r="C22" s="280">
        <v>1890</v>
      </c>
      <c r="D22" s="280"/>
      <c r="E22" s="280">
        <v>1820</v>
      </c>
      <c r="F22" s="280"/>
      <c r="G22" s="86"/>
      <c r="H22" s="86"/>
    </row>
    <row r="23" spans="1:8" s="88" customFormat="1" ht="20.25" customHeight="1">
      <c r="A23" s="47"/>
      <c r="B23" s="90" t="s">
        <v>283</v>
      </c>
      <c r="C23" s="280">
        <v>810</v>
      </c>
      <c r="D23" s="280">
        <v>810</v>
      </c>
      <c r="E23" s="280">
        <v>780</v>
      </c>
      <c r="F23" s="280">
        <v>780</v>
      </c>
      <c r="G23" s="86"/>
      <c r="H23" s="86"/>
    </row>
    <row r="24" spans="1:8" s="88" customFormat="1" ht="20.25" customHeight="1">
      <c r="A24" s="47"/>
      <c r="B24" s="90" t="s">
        <v>284</v>
      </c>
      <c r="C24" s="516">
        <v>312</v>
      </c>
      <c r="D24" s="516">
        <f>C24</f>
        <v>312</v>
      </c>
      <c r="E24" s="280">
        <v>100</v>
      </c>
      <c r="F24" s="280">
        <v>100</v>
      </c>
      <c r="G24" s="86">
        <f aca="true" t="shared" si="3" ref="G24:H27">E24/C24*100</f>
        <v>32.05128205128205</v>
      </c>
      <c r="H24" s="86">
        <f t="shared" si="3"/>
        <v>32.05128205128205</v>
      </c>
    </row>
    <row r="25" spans="1:8" ht="20.25" customHeight="1">
      <c r="A25" s="47">
        <v>4</v>
      </c>
      <c r="B25" s="81" t="s">
        <v>13</v>
      </c>
      <c r="C25" s="517">
        <v>7180</v>
      </c>
      <c r="D25" s="517">
        <f>C25</f>
        <v>7180</v>
      </c>
      <c r="E25" s="279">
        <v>6200</v>
      </c>
      <c r="F25" s="279">
        <v>6200</v>
      </c>
      <c r="G25" s="86">
        <f t="shared" si="3"/>
        <v>86.35097493036211</v>
      </c>
      <c r="H25" s="86">
        <f t="shared" si="3"/>
        <v>86.35097493036211</v>
      </c>
    </row>
    <row r="26" spans="1:8" ht="20.25" customHeight="1">
      <c r="A26" s="47">
        <v>5</v>
      </c>
      <c r="B26" s="81" t="s">
        <v>15</v>
      </c>
      <c r="C26" s="517">
        <v>2220</v>
      </c>
      <c r="D26" s="517">
        <f>C26</f>
        <v>2220</v>
      </c>
      <c r="E26" s="279">
        <v>2450</v>
      </c>
      <c r="F26" s="279">
        <v>2450</v>
      </c>
      <c r="G26" s="86">
        <f t="shared" si="3"/>
        <v>110.36036036036036</v>
      </c>
      <c r="H26" s="86">
        <f t="shared" si="3"/>
        <v>110.36036036036036</v>
      </c>
    </row>
    <row r="27" spans="1:8" s="88" customFormat="1" ht="20.25" customHeight="1">
      <c r="A27" s="47">
        <v>6</v>
      </c>
      <c r="B27" s="81" t="s">
        <v>16</v>
      </c>
      <c r="C27" s="517">
        <v>1420</v>
      </c>
      <c r="D27" s="517">
        <f>C27-C28</f>
        <v>1320</v>
      </c>
      <c r="E27" s="279">
        <v>1600</v>
      </c>
      <c r="F27" s="279">
        <v>1600</v>
      </c>
      <c r="G27" s="86">
        <f t="shared" si="3"/>
        <v>112.67605633802818</v>
      </c>
      <c r="H27" s="86">
        <f t="shared" si="3"/>
        <v>121.21212121212122</v>
      </c>
    </row>
    <row r="28" spans="1:8" s="88" customFormat="1" ht="20.25" customHeight="1">
      <c r="A28" s="47"/>
      <c r="B28" s="90" t="s">
        <v>389</v>
      </c>
      <c r="C28" s="517">
        <v>100</v>
      </c>
      <c r="D28" s="279"/>
      <c r="E28" s="279"/>
      <c r="F28" s="279"/>
      <c r="G28" s="86"/>
      <c r="H28" s="86"/>
    </row>
    <row r="29" spans="1:8" s="88" customFormat="1" ht="20.25" customHeight="1">
      <c r="A29" s="47"/>
      <c r="B29" s="90" t="s">
        <v>388</v>
      </c>
      <c r="C29" s="281">
        <v>500</v>
      </c>
      <c r="D29" s="281">
        <v>500</v>
      </c>
      <c r="E29" s="281">
        <v>500</v>
      </c>
      <c r="F29" s="281">
        <v>500</v>
      </c>
      <c r="G29" s="86"/>
      <c r="H29" s="86"/>
    </row>
    <row r="30" spans="1:8" s="88" customFormat="1" ht="20.25" customHeight="1">
      <c r="A30" s="47"/>
      <c r="B30" s="90" t="s">
        <v>354</v>
      </c>
      <c r="C30" s="281">
        <v>300</v>
      </c>
      <c r="D30" s="281">
        <v>300</v>
      </c>
      <c r="E30" s="281">
        <v>300</v>
      </c>
      <c r="F30" s="281">
        <v>300</v>
      </c>
      <c r="G30" s="86"/>
      <c r="H30" s="86"/>
    </row>
    <row r="31" spans="1:8" ht="20.25" customHeight="1">
      <c r="A31" s="47">
        <v>7</v>
      </c>
      <c r="B31" s="81" t="s">
        <v>18</v>
      </c>
      <c r="C31" s="517">
        <v>17500</v>
      </c>
      <c r="D31" s="517">
        <f>C31</f>
        <v>17500</v>
      </c>
      <c r="E31" s="279">
        <f>12000+2000</f>
        <v>14000</v>
      </c>
      <c r="F31" s="279">
        <f>12000+2000</f>
        <v>14000</v>
      </c>
      <c r="G31" s="86">
        <f>E31/C31*100</f>
        <v>80</v>
      </c>
      <c r="H31" s="86">
        <f>F31/D31*100</f>
        <v>80</v>
      </c>
    </row>
    <row r="32" spans="1:8" ht="20.25" customHeight="1">
      <c r="A32" s="47">
        <v>8</v>
      </c>
      <c r="B32" s="81" t="s">
        <v>33</v>
      </c>
      <c r="C32" s="517">
        <v>3845</v>
      </c>
      <c r="D32" s="517">
        <f>C32</f>
        <v>3845</v>
      </c>
      <c r="E32" s="279">
        <v>3500</v>
      </c>
      <c r="F32" s="279">
        <v>3500</v>
      </c>
      <c r="G32" s="86"/>
      <c r="H32" s="86"/>
    </row>
    <row r="33" spans="1:8" ht="20.25" customHeight="1">
      <c r="A33" s="47">
        <v>9</v>
      </c>
      <c r="B33" s="81" t="s">
        <v>14</v>
      </c>
      <c r="C33" s="279">
        <v>280</v>
      </c>
      <c r="D33" s="279">
        <v>280</v>
      </c>
      <c r="E33" s="279">
        <v>150</v>
      </c>
      <c r="F33" s="279">
        <v>150</v>
      </c>
      <c r="G33" s="86">
        <f aca="true" t="shared" si="4" ref="G33:H35">E33/C33*100</f>
        <v>53.57142857142857</v>
      </c>
      <c r="H33" s="86">
        <f t="shared" si="4"/>
        <v>53.57142857142857</v>
      </c>
    </row>
    <row r="34" spans="1:8" ht="20.25" customHeight="1">
      <c r="A34" s="47">
        <v>10</v>
      </c>
      <c r="B34" s="81" t="s">
        <v>73</v>
      </c>
      <c r="C34" s="279">
        <v>100</v>
      </c>
      <c r="D34" s="279">
        <v>100</v>
      </c>
      <c r="E34" s="279">
        <v>100</v>
      </c>
      <c r="F34" s="279">
        <v>100</v>
      </c>
      <c r="G34" s="86">
        <f t="shared" si="4"/>
        <v>100</v>
      </c>
      <c r="H34" s="86">
        <f t="shared" si="4"/>
        <v>100</v>
      </c>
    </row>
    <row r="35" spans="1:8" ht="20.25" customHeight="1">
      <c r="A35" s="47">
        <v>11</v>
      </c>
      <c r="B35" s="81" t="s">
        <v>19</v>
      </c>
      <c r="C35" s="517">
        <f>SUM(C36,C37)</f>
        <v>3700</v>
      </c>
      <c r="D35" s="279">
        <f>SUM(D36,D37)</f>
        <v>1990</v>
      </c>
      <c r="E35" s="279">
        <f>SUM(E36,E37)</f>
        <v>3000</v>
      </c>
      <c r="F35" s="279">
        <f>SUM(F36,F37)</f>
        <v>820</v>
      </c>
      <c r="G35" s="86">
        <f t="shared" si="4"/>
        <v>81.08108108108108</v>
      </c>
      <c r="H35" s="86">
        <f t="shared" si="4"/>
        <v>41.20603015075377</v>
      </c>
    </row>
    <row r="36" spans="1:8" ht="20.25" customHeight="1">
      <c r="A36" s="82" t="s">
        <v>17</v>
      </c>
      <c r="B36" s="81" t="s">
        <v>219</v>
      </c>
      <c r="C36" s="516">
        <v>1710</v>
      </c>
      <c r="D36" s="280"/>
      <c r="E36" s="280">
        <v>2180</v>
      </c>
      <c r="F36" s="280"/>
      <c r="G36" s="86">
        <f>E36/C36*100</f>
        <v>127.48538011695906</v>
      </c>
      <c r="H36" s="86"/>
    </row>
    <row r="37" spans="1:8" ht="20.25" customHeight="1">
      <c r="A37" s="82" t="s">
        <v>17</v>
      </c>
      <c r="B37" s="81" t="s">
        <v>352</v>
      </c>
      <c r="C37" s="280">
        <v>1990</v>
      </c>
      <c r="D37" s="280">
        <v>1990</v>
      </c>
      <c r="E37" s="280">
        <v>820</v>
      </c>
      <c r="F37" s="280">
        <v>820</v>
      </c>
      <c r="G37" s="86">
        <f>E37/C37*100</f>
        <v>41.20603015075377</v>
      </c>
      <c r="H37" s="86">
        <f>F37/D37*100</f>
        <v>41.20603015075377</v>
      </c>
    </row>
  </sheetData>
  <sheetProtection/>
  <mergeCells count="7">
    <mergeCell ref="A2:H2"/>
    <mergeCell ref="E5:F5"/>
    <mergeCell ref="G5:H5"/>
    <mergeCell ref="A3:H3"/>
    <mergeCell ref="A5:A7"/>
    <mergeCell ref="B5:B7"/>
    <mergeCell ref="C5:D5"/>
  </mergeCells>
  <printOptions horizontalCentered="1"/>
  <pageMargins left="0.59" right="0" top="0.6" bottom="0.17" header="0.88" footer="0.2"/>
  <pageSetup fitToHeight="0" fitToWidth="1" horizontalDpi="600" verticalDpi="600" orientation="portrait" paperSize="9" scale="80" r:id="rId3"/>
  <headerFooter alignWithMargins="0">
    <oddHeader xml:space="preserve">&amp;C                                                                                                                                  </oddHeader>
    <oddFooter>&amp;C&amp;".VnTime,Italic"&amp;8
</oddFooter>
  </headerFooter>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53"/>
  <sheetViews>
    <sheetView view="pageBreakPreview" zoomScaleSheetLayoutView="100" zoomScalePageLayoutView="0" workbookViewId="0" topLeftCell="A4">
      <selection activeCell="F46" sqref="F46"/>
    </sheetView>
  </sheetViews>
  <sheetFormatPr defaultColWidth="8.796875" defaultRowHeight="15"/>
  <cols>
    <col min="1" max="1" width="7.09765625" style="217" customWidth="1"/>
    <col min="2" max="2" width="49.3984375" style="217" customWidth="1"/>
    <col min="3" max="4" width="11.09765625" style="217" customWidth="1"/>
    <col min="5" max="6" width="10.19921875" style="217" customWidth="1"/>
    <col min="7" max="7" width="9" style="217" customWidth="1"/>
    <col min="8" max="8" width="18.8984375" style="217" customWidth="1"/>
    <col min="9" max="16384" width="9" style="217" customWidth="1"/>
  </cols>
  <sheetData>
    <row r="1" spans="1:6" ht="24.75" customHeight="1">
      <c r="A1" s="197"/>
      <c r="B1" s="198"/>
      <c r="C1" s="199"/>
      <c r="D1" s="215"/>
      <c r="E1" s="216"/>
      <c r="F1" s="201" t="s">
        <v>203</v>
      </c>
    </row>
    <row r="2" spans="1:6" ht="21" customHeight="1">
      <c r="A2" s="408" t="s">
        <v>355</v>
      </c>
      <c r="B2" s="408"/>
      <c r="C2" s="408"/>
      <c r="D2" s="408"/>
      <c r="E2" s="408"/>
      <c r="F2" s="408"/>
    </row>
    <row r="3" spans="1:7" ht="17.25" customHeight="1">
      <c r="A3" s="411" t="str">
        <f>PL15!A3</f>
        <v>(Kèm theo Nghị quyết số       /NQ-HĐND ngày          tháng 12 năm 2023 của HĐND huyện Tuần Giáo)</v>
      </c>
      <c r="B3" s="411"/>
      <c r="C3" s="411"/>
      <c r="D3" s="411"/>
      <c r="E3" s="411"/>
      <c r="F3" s="411"/>
      <c r="G3" s="218"/>
    </row>
    <row r="4" spans="1:6" ht="30" customHeight="1">
      <c r="A4" s="202"/>
      <c r="B4" s="202"/>
      <c r="C4" s="203"/>
      <c r="D4" s="417" t="s">
        <v>90</v>
      </c>
      <c r="E4" s="417"/>
      <c r="F4" s="417"/>
    </row>
    <row r="5" spans="1:6" ht="15.75">
      <c r="A5" s="418" t="s">
        <v>60</v>
      </c>
      <c r="B5" s="419" t="s">
        <v>6</v>
      </c>
      <c r="C5" s="418" t="s">
        <v>277</v>
      </c>
      <c r="D5" s="418" t="s">
        <v>350</v>
      </c>
      <c r="E5" s="419" t="s">
        <v>61</v>
      </c>
      <c r="F5" s="419"/>
    </row>
    <row r="6" spans="1:6" ht="15.75">
      <c r="A6" s="418"/>
      <c r="B6" s="419"/>
      <c r="C6" s="418"/>
      <c r="D6" s="418"/>
      <c r="E6" s="418" t="s">
        <v>91</v>
      </c>
      <c r="F6" s="418" t="s">
        <v>142</v>
      </c>
    </row>
    <row r="7" spans="1:6" ht="15.75">
      <c r="A7" s="418"/>
      <c r="B7" s="419"/>
      <c r="C7" s="418"/>
      <c r="D7" s="418"/>
      <c r="E7" s="418"/>
      <c r="F7" s="418"/>
    </row>
    <row r="8" spans="1:6" ht="15.75">
      <c r="A8" s="219" t="s">
        <v>10</v>
      </c>
      <c r="B8" s="219" t="s">
        <v>11</v>
      </c>
      <c r="C8" s="219">
        <v>1</v>
      </c>
      <c r="D8" s="219">
        <v>2</v>
      </c>
      <c r="E8" s="219" t="s">
        <v>92</v>
      </c>
      <c r="F8" s="219" t="s">
        <v>93</v>
      </c>
    </row>
    <row r="9" spans="1:6" ht="15.75">
      <c r="A9" s="219"/>
      <c r="B9" s="220" t="s">
        <v>101</v>
      </c>
      <c r="C9" s="221">
        <f>C10+C37</f>
        <v>948814</v>
      </c>
      <c r="D9" s="221">
        <f>D10+D37</f>
        <v>1102382</v>
      </c>
      <c r="E9" s="221">
        <f>D9-C9</f>
        <v>153568</v>
      </c>
      <c r="F9" s="222">
        <f>D9/C9*100</f>
        <v>116.18525864921891</v>
      </c>
    </row>
    <row r="10" spans="1:8" ht="15.75">
      <c r="A10" s="219" t="s">
        <v>10</v>
      </c>
      <c r="B10" s="220" t="s">
        <v>106</v>
      </c>
      <c r="C10" s="221">
        <f>C11+C21+C35+C36</f>
        <v>734706</v>
      </c>
      <c r="D10" s="221">
        <f>D11+D21+D35+D36</f>
        <v>829482</v>
      </c>
      <c r="E10" s="221">
        <f aca="true" t="shared" si="0" ref="E10:E52">D10-C10</f>
        <v>94776</v>
      </c>
      <c r="F10" s="222">
        <f>D10/C10*100</f>
        <v>112.89985381907866</v>
      </c>
      <c r="H10" s="223"/>
    </row>
    <row r="11" spans="1:6" ht="15.75">
      <c r="A11" s="219" t="s">
        <v>20</v>
      </c>
      <c r="B11" s="220" t="s">
        <v>43</v>
      </c>
      <c r="C11" s="221">
        <f>C18</f>
        <v>36868</v>
      </c>
      <c r="D11" s="221">
        <f>D18</f>
        <v>36645</v>
      </c>
      <c r="E11" s="221">
        <f>E12</f>
        <v>-223</v>
      </c>
      <c r="F11" s="222">
        <f>F12</f>
        <v>99.39513941629598</v>
      </c>
    </row>
    <row r="12" spans="1:6" ht="15.75">
      <c r="A12" s="224">
        <v>1</v>
      </c>
      <c r="B12" s="225" t="s">
        <v>74</v>
      </c>
      <c r="C12" s="226">
        <f>C13</f>
        <v>36868</v>
      </c>
      <c r="D12" s="226">
        <f>D13</f>
        <v>36645</v>
      </c>
      <c r="E12" s="226">
        <f>E13</f>
        <v>-223</v>
      </c>
      <c r="F12" s="227">
        <f>D12/C12*100</f>
        <v>99.39513941629598</v>
      </c>
    </row>
    <row r="13" spans="1:6" ht="15.75">
      <c r="A13" s="224"/>
      <c r="B13" s="283" t="s">
        <v>140</v>
      </c>
      <c r="C13" s="293">
        <f>SUM(C14:C17)</f>
        <v>36868</v>
      </c>
      <c r="D13" s="293">
        <f>SUM(D14:D17)</f>
        <v>36645</v>
      </c>
      <c r="E13" s="226">
        <f>SUM(E14:E17)</f>
        <v>-223</v>
      </c>
      <c r="F13" s="227">
        <f aca="true" t="shared" si="1" ref="F13:F20">D13/C13*100</f>
        <v>99.39513941629598</v>
      </c>
    </row>
    <row r="14" spans="1:6" ht="15.75">
      <c r="A14" s="228" t="s">
        <v>17</v>
      </c>
      <c r="B14" s="225" t="s">
        <v>312</v>
      </c>
      <c r="C14" s="226">
        <v>6000</v>
      </c>
      <c r="D14" s="282">
        <v>2966</v>
      </c>
      <c r="E14" s="226">
        <f>D14-C14</f>
        <v>-3034</v>
      </c>
      <c r="F14" s="227">
        <f>D14/C14*100</f>
        <v>49.43333333333334</v>
      </c>
    </row>
    <row r="15" spans="1:6" ht="15.75">
      <c r="A15" s="228" t="s">
        <v>17</v>
      </c>
      <c r="B15" s="225" t="s">
        <v>38</v>
      </c>
      <c r="C15" s="226"/>
      <c r="D15" s="282">
        <v>1600</v>
      </c>
      <c r="E15" s="226">
        <f>D15-C15</f>
        <v>1600</v>
      </c>
      <c r="F15" s="227"/>
    </row>
    <row r="16" spans="1:6" ht="15.75">
      <c r="A16" s="228" t="s">
        <v>17</v>
      </c>
      <c r="B16" s="225" t="s">
        <v>115</v>
      </c>
      <c r="C16" s="226">
        <v>30868</v>
      </c>
      <c r="D16" s="282">
        <v>32079</v>
      </c>
      <c r="E16" s="226">
        <f>D16-C16</f>
        <v>1211</v>
      </c>
      <c r="F16" s="227">
        <f t="shared" si="1"/>
        <v>103.92315666709861</v>
      </c>
    </row>
    <row r="17" spans="1:6" ht="15.75" hidden="1">
      <c r="A17" s="228" t="s">
        <v>17</v>
      </c>
      <c r="B17" s="225" t="s">
        <v>313</v>
      </c>
      <c r="C17" s="226"/>
      <c r="D17" s="226"/>
      <c r="E17" s="226">
        <f>D17-C17</f>
        <v>0</v>
      </c>
      <c r="F17" s="227"/>
    </row>
    <row r="18" spans="1:6" ht="15.75">
      <c r="A18" s="224"/>
      <c r="B18" s="283" t="s">
        <v>141</v>
      </c>
      <c r="C18" s="293">
        <f>C19+C20</f>
        <v>36868</v>
      </c>
      <c r="D18" s="293">
        <f>D19+D20</f>
        <v>36645</v>
      </c>
      <c r="E18" s="226">
        <f>E19+E20</f>
        <v>-223</v>
      </c>
      <c r="F18" s="227">
        <f t="shared" si="1"/>
        <v>99.39513941629598</v>
      </c>
    </row>
    <row r="19" spans="1:6" ht="15.75">
      <c r="A19" s="228" t="s">
        <v>17</v>
      </c>
      <c r="B19" s="225" t="s">
        <v>314</v>
      </c>
      <c r="C19" s="226">
        <v>23368</v>
      </c>
      <c r="D19" s="282">
        <v>24045</v>
      </c>
      <c r="E19" s="226">
        <f>D19-C19</f>
        <v>677</v>
      </c>
      <c r="F19" s="227">
        <f t="shared" si="1"/>
        <v>102.89712427250942</v>
      </c>
    </row>
    <row r="20" spans="1:6" ht="15.75">
      <c r="A20" s="228" t="s">
        <v>17</v>
      </c>
      <c r="B20" s="225" t="s">
        <v>315</v>
      </c>
      <c r="C20" s="226">
        <v>13500</v>
      </c>
      <c r="D20" s="282">
        <v>12600</v>
      </c>
      <c r="E20" s="226">
        <f>D20-C20</f>
        <v>-900</v>
      </c>
      <c r="F20" s="227">
        <f t="shared" si="1"/>
        <v>93.33333333333333</v>
      </c>
    </row>
    <row r="21" spans="1:6" ht="15.75">
      <c r="A21" s="219" t="s">
        <v>21</v>
      </c>
      <c r="B21" s="220" t="s">
        <v>26</v>
      </c>
      <c r="C21" s="221">
        <f>SUM(C22:C34)</f>
        <v>683144</v>
      </c>
      <c r="D21" s="221">
        <f>SUM(D22:D34)</f>
        <v>776247</v>
      </c>
      <c r="E21" s="221">
        <f t="shared" si="0"/>
        <v>93103</v>
      </c>
      <c r="F21" s="222">
        <f aca="true" t="shared" si="2" ref="F21:F34">D21/C21*100</f>
        <v>113.62860538920052</v>
      </c>
    </row>
    <row r="22" spans="1:6" ht="15.75">
      <c r="A22" s="224">
        <v>1</v>
      </c>
      <c r="B22" s="225" t="s">
        <v>35</v>
      </c>
      <c r="C22" s="226">
        <v>9082</v>
      </c>
      <c r="D22" s="226">
        <v>8917</v>
      </c>
      <c r="E22" s="226">
        <f>D22-C22</f>
        <v>-165</v>
      </c>
      <c r="F22" s="227">
        <f>D22/C22*100</f>
        <v>98.18321955516406</v>
      </c>
    </row>
    <row r="23" spans="1:6" ht="15.75">
      <c r="A23" s="224">
        <v>2</v>
      </c>
      <c r="B23" s="225" t="s">
        <v>36</v>
      </c>
      <c r="C23" s="226">
        <v>3299</v>
      </c>
      <c r="D23" s="226">
        <v>6137</v>
      </c>
      <c r="E23" s="226">
        <f>D23-C23</f>
        <v>2838</v>
      </c>
      <c r="F23" s="227">
        <f>D23/C23*100</f>
        <v>186.02606850560775</v>
      </c>
    </row>
    <row r="24" spans="1:7" ht="15.75">
      <c r="A24" s="224">
        <v>3</v>
      </c>
      <c r="B24" s="225" t="s">
        <v>229</v>
      </c>
      <c r="C24" s="282">
        <v>425458</v>
      </c>
      <c r="D24" s="226">
        <v>500088</v>
      </c>
      <c r="E24" s="226">
        <f t="shared" si="0"/>
        <v>74630</v>
      </c>
      <c r="F24" s="227">
        <f t="shared" si="2"/>
        <v>117.54109688852954</v>
      </c>
      <c r="G24" s="223"/>
    </row>
    <row r="25" spans="1:6" ht="15.75">
      <c r="A25" s="224">
        <v>4</v>
      </c>
      <c r="B25" s="225" t="s">
        <v>34</v>
      </c>
      <c r="C25" s="282">
        <v>600</v>
      </c>
      <c r="D25" s="226">
        <v>415</v>
      </c>
      <c r="E25" s="226">
        <f t="shared" si="0"/>
        <v>-185</v>
      </c>
      <c r="F25" s="227">
        <f t="shared" si="2"/>
        <v>69.16666666666667</v>
      </c>
    </row>
    <row r="26" spans="1:6" ht="15.75">
      <c r="A26" s="224">
        <v>5</v>
      </c>
      <c r="B26" s="225" t="s">
        <v>37</v>
      </c>
      <c r="C26" s="282">
        <v>200</v>
      </c>
      <c r="D26" s="226">
        <v>315</v>
      </c>
      <c r="E26" s="226">
        <f t="shared" si="0"/>
        <v>115</v>
      </c>
      <c r="F26" s="227">
        <f t="shared" si="2"/>
        <v>157.5</v>
      </c>
    </row>
    <row r="27" spans="1:6" ht="15.75">
      <c r="A27" s="224">
        <v>6</v>
      </c>
      <c r="B27" s="225" t="s">
        <v>38</v>
      </c>
      <c r="C27" s="282">
        <v>3686</v>
      </c>
      <c r="D27" s="226">
        <v>4056</v>
      </c>
      <c r="E27" s="226">
        <f t="shared" si="0"/>
        <v>370</v>
      </c>
      <c r="F27" s="227">
        <f t="shared" si="2"/>
        <v>110.0379815518177</v>
      </c>
    </row>
    <row r="28" spans="1:6" ht="15.75">
      <c r="A28" s="224">
        <v>7</v>
      </c>
      <c r="B28" s="225" t="s">
        <v>39</v>
      </c>
      <c r="C28" s="282">
        <v>2889</v>
      </c>
      <c r="D28" s="226">
        <v>3277</v>
      </c>
      <c r="E28" s="226">
        <f t="shared" si="0"/>
        <v>388</v>
      </c>
      <c r="F28" s="227">
        <f t="shared" si="2"/>
        <v>113.43025268258913</v>
      </c>
    </row>
    <row r="29" spans="1:6" ht="15.75">
      <c r="A29" s="224">
        <v>8</v>
      </c>
      <c r="B29" s="225" t="s">
        <v>40</v>
      </c>
      <c r="C29" s="282">
        <v>616</v>
      </c>
      <c r="D29" s="226">
        <v>615</v>
      </c>
      <c r="E29" s="226">
        <f t="shared" si="0"/>
        <v>-1</v>
      </c>
      <c r="F29" s="227">
        <f t="shared" si="2"/>
        <v>99.83766233766234</v>
      </c>
    </row>
    <row r="30" spans="1:6" ht="15.75">
      <c r="A30" s="224">
        <v>9</v>
      </c>
      <c r="B30" s="225" t="s">
        <v>41</v>
      </c>
      <c r="C30" s="282">
        <v>4232</v>
      </c>
      <c r="D30" s="226">
        <v>7000</v>
      </c>
      <c r="E30" s="226">
        <f t="shared" si="0"/>
        <v>2768</v>
      </c>
      <c r="F30" s="227">
        <f t="shared" si="2"/>
        <v>165.40642722117204</v>
      </c>
    </row>
    <row r="31" spans="1:6" ht="15.75">
      <c r="A31" s="224">
        <v>10</v>
      </c>
      <c r="B31" s="225" t="s">
        <v>216</v>
      </c>
      <c r="C31" s="282">
        <v>56948</v>
      </c>
      <c r="D31" s="511">
        <f>53625+550</f>
        <v>54175</v>
      </c>
      <c r="E31" s="226">
        <f t="shared" si="0"/>
        <v>-2773</v>
      </c>
      <c r="F31" s="227">
        <f t="shared" si="2"/>
        <v>95.13064550115895</v>
      </c>
    </row>
    <row r="32" spans="1:6" ht="15.75">
      <c r="A32" s="224">
        <v>11</v>
      </c>
      <c r="B32" s="225" t="s">
        <v>316</v>
      </c>
      <c r="C32" s="282">
        <v>110925</v>
      </c>
      <c r="D32" s="511">
        <f>128222+3410</f>
        <v>131632</v>
      </c>
      <c r="E32" s="226">
        <f t="shared" si="0"/>
        <v>20707</v>
      </c>
      <c r="F32" s="227">
        <f t="shared" si="2"/>
        <v>118.66756817669597</v>
      </c>
    </row>
    <row r="33" spans="1:6" ht="15.75">
      <c r="A33" s="224">
        <v>12</v>
      </c>
      <c r="B33" s="225" t="s">
        <v>27</v>
      </c>
      <c r="C33" s="282">
        <v>47164</v>
      </c>
      <c r="D33" s="226">
        <v>57210</v>
      </c>
      <c r="E33" s="226">
        <f t="shared" si="0"/>
        <v>10046</v>
      </c>
      <c r="F33" s="227">
        <f t="shared" si="2"/>
        <v>121.30014417776269</v>
      </c>
    </row>
    <row r="34" spans="1:6" ht="15.75">
      <c r="A34" s="224">
        <v>13</v>
      </c>
      <c r="B34" s="225" t="s">
        <v>42</v>
      </c>
      <c r="C34" s="282">
        <v>18045</v>
      </c>
      <c r="D34" s="511">
        <f>3000-550-40</f>
        <v>2410</v>
      </c>
      <c r="E34" s="226">
        <f t="shared" si="0"/>
        <v>-15635</v>
      </c>
      <c r="F34" s="227">
        <f t="shared" si="2"/>
        <v>13.355500138542533</v>
      </c>
    </row>
    <row r="35" spans="1:6" ht="15.75">
      <c r="A35" s="219" t="s">
        <v>22</v>
      </c>
      <c r="B35" s="220" t="s">
        <v>29</v>
      </c>
      <c r="C35" s="221">
        <v>14694</v>
      </c>
      <c r="D35" s="513">
        <f>16480+70+40</f>
        <v>16590</v>
      </c>
      <c r="E35" s="221">
        <f>D35-C35</f>
        <v>1896</v>
      </c>
      <c r="F35" s="222">
        <f>D35/C35*100</f>
        <v>112.90322580645163</v>
      </c>
    </row>
    <row r="36" spans="1:6" ht="15.75" hidden="1">
      <c r="A36" s="219" t="s">
        <v>23</v>
      </c>
      <c r="B36" s="220" t="s">
        <v>75</v>
      </c>
      <c r="C36" s="221"/>
      <c r="D36" s="221"/>
      <c r="E36" s="221">
        <f t="shared" si="0"/>
        <v>0</v>
      </c>
      <c r="F36" s="227"/>
    </row>
    <row r="37" spans="1:6" ht="15.75">
      <c r="A37" s="219" t="s">
        <v>11</v>
      </c>
      <c r="B37" s="229" t="s">
        <v>107</v>
      </c>
      <c r="C37" s="221">
        <f>C38+C48</f>
        <v>214108</v>
      </c>
      <c r="D37" s="221">
        <f>D38+D48</f>
        <v>272900</v>
      </c>
      <c r="E37" s="221">
        <f t="shared" si="0"/>
        <v>58792</v>
      </c>
      <c r="F37" s="222">
        <f>D37/C37*100</f>
        <v>127.45903936331197</v>
      </c>
    </row>
    <row r="38" spans="1:6" ht="15.75">
      <c r="A38" s="219" t="s">
        <v>20</v>
      </c>
      <c r="B38" s="220" t="s">
        <v>104</v>
      </c>
      <c r="C38" s="221">
        <f>C39+C45+C42</f>
        <v>210875</v>
      </c>
      <c r="D38" s="221">
        <f>D39+D45+D42</f>
        <v>271066</v>
      </c>
      <c r="E38" s="221">
        <f t="shared" si="0"/>
        <v>60191</v>
      </c>
      <c r="F38" s="222">
        <f aca="true" t="shared" si="3" ref="F38:F53">D38/C38*100</f>
        <v>128.54344991108476</v>
      </c>
    </row>
    <row r="39" spans="1:6" ht="31.5">
      <c r="A39" s="224">
        <v>1</v>
      </c>
      <c r="B39" s="230" t="s">
        <v>306</v>
      </c>
      <c r="C39" s="226">
        <f>C40+C41</f>
        <v>161997</v>
      </c>
      <c r="D39" s="226">
        <f>D40+D41</f>
        <v>210014</v>
      </c>
      <c r="E39" s="226">
        <f t="shared" si="0"/>
        <v>48017</v>
      </c>
      <c r="F39" s="227">
        <f t="shared" si="3"/>
        <v>129.64067235813008</v>
      </c>
    </row>
    <row r="40" spans="1:6" ht="15.75">
      <c r="A40" s="224"/>
      <c r="B40" s="225" t="s">
        <v>194</v>
      </c>
      <c r="C40" s="226">
        <v>83500</v>
      </c>
      <c r="D40" s="511">
        <v>110034</v>
      </c>
      <c r="E40" s="226">
        <f t="shared" si="0"/>
        <v>26534</v>
      </c>
      <c r="F40" s="227">
        <f t="shared" si="3"/>
        <v>131.77724550898205</v>
      </c>
    </row>
    <row r="41" spans="1:6" ht="15.75">
      <c r="A41" s="224"/>
      <c r="B41" s="225" t="s">
        <v>195</v>
      </c>
      <c r="C41" s="226">
        <v>78497</v>
      </c>
      <c r="D41" s="226">
        <v>99980</v>
      </c>
      <c r="E41" s="226">
        <f t="shared" si="0"/>
        <v>21483</v>
      </c>
      <c r="F41" s="227">
        <f t="shared" si="3"/>
        <v>127.36792488884925</v>
      </c>
    </row>
    <row r="42" spans="1:6" ht="15.75">
      <c r="A42" s="224">
        <v>2</v>
      </c>
      <c r="B42" s="230" t="s">
        <v>307</v>
      </c>
      <c r="C42" s="226">
        <f>C43+C44</f>
        <v>48468</v>
      </c>
      <c r="D42" s="226">
        <f>D43+D44</f>
        <v>48946</v>
      </c>
      <c r="E42" s="226">
        <f>D42-C42</f>
        <v>478</v>
      </c>
      <c r="F42" s="227">
        <f t="shared" si="3"/>
        <v>100.98621771065446</v>
      </c>
    </row>
    <row r="43" spans="1:6" ht="15.75">
      <c r="A43" s="224"/>
      <c r="B43" s="225" t="s">
        <v>194</v>
      </c>
      <c r="C43" s="226">
        <v>0</v>
      </c>
      <c r="D43" s="511">
        <v>3000</v>
      </c>
      <c r="E43" s="226">
        <f>D43-C43</f>
        <v>3000</v>
      </c>
      <c r="F43" s="227"/>
    </row>
    <row r="44" spans="1:6" ht="15.75">
      <c r="A44" s="224"/>
      <c r="B44" s="225" t="s">
        <v>195</v>
      </c>
      <c r="C44" s="226">
        <v>48468</v>
      </c>
      <c r="D44" s="226">
        <v>45946</v>
      </c>
      <c r="E44" s="226">
        <f>D44-C44</f>
        <v>-2522</v>
      </c>
      <c r="F44" s="227">
        <f t="shared" si="3"/>
        <v>94.79656680696542</v>
      </c>
    </row>
    <row r="45" spans="1:6" ht="15.75">
      <c r="A45" s="224">
        <v>3</v>
      </c>
      <c r="B45" s="225" t="s">
        <v>193</v>
      </c>
      <c r="C45" s="226">
        <f>C46+C47</f>
        <v>410</v>
      </c>
      <c r="D45" s="226">
        <f>D46+D47</f>
        <v>12106</v>
      </c>
      <c r="E45" s="226">
        <f t="shared" si="0"/>
        <v>11696</v>
      </c>
      <c r="F45" s="227">
        <f t="shared" si="3"/>
        <v>2952.682926829268</v>
      </c>
    </row>
    <row r="46" spans="1:6" ht="15.75">
      <c r="A46" s="224"/>
      <c r="B46" s="225" t="s">
        <v>194</v>
      </c>
      <c r="C46" s="226">
        <v>0</v>
      </c>
      <c r="D46" s="511">
        <v>10296</v>
      </c>
      <c r="E46" s="226">
        <f t="shared" si="0"/>
        <v>10296</v>
      </c>
      <c r="F46" s="227"/>
    </row>
    <row r="47" spans="1:6" ht="15.75">
      <c r="A47" s="224"/>
      <c r="B47" s="225" t="s">
        <v>195</v>
      </c>
      <c r="C47" s="226">
        <v>410</v>
      </c>
      <c r="D47" s="226">
        <v>1810</v>
      </c>
      <c r="E47" s="226">
        <f t="shared" si="0"/>
        <v>1400</v>
      </c>
      <c r="F47" s="227">
        <f t="shared" si="3"/>
        <v>441.4634146341464</v>
      </c>
    </row>
    <row r="48" spans="1:6" ht="15.75">
      <c r="A48" s="219" t="s">
        <v>21</v>
      </c>
      <c r="B48" s="220" t="s">
        <v>201</v>
      </c>
      <c r="C48" s="221">
        <f>C49+C51</f>
        <v>3233</v>
      </c>
      <c r="D48" s="221">
        <f>D49+D51</f>
        <v>1834</v>
      </c>
      <c r="E48" s="221">
        <f t="shared" si="0"/>
        <v>-1399</v>
      </c>
      <c r="F48" s="222">
        <f t="shared" si="3"/>
        <v>56.72749768017321</v>
      </c>
    </row>
    <row r="49" spans="1:6" ht="15.75">
      <c r="A49" s="224">
        <v>1</v>
      </c>
      <c r="B49" s="225" t="s">
        <v>194</v>
      </c>
      <c r="C49" s="226">
        <f>C50</f>
        <v>0</v>
      </c>
      <c r="D49" s="226">
        <f>D50</f>
        <v>0</v>
      </c>
      <c r="E49" s="226">
        <f t="shared" si="0"/>
        <v>0</v>
      </c>
      <c r="F49" s="227"/>
    </row>
    <row r="50" spans="1:6" ht="31.5" hidden="1">
      <c r="A50" s="231"/>
      <c r="B50" s="232" t="s">
        <v>318</v>
      </c>
      <c r="C50" s="233">
        <v>0</v>
      </c>
      <c r="D50" s="233"/>
      <c r="E50" s="226">
        <f t="shared" si="0"/>
        <v>0</v>
      </c>
      <c r="F50" s="227" t="e">
        <f t="shared" si="3"/>
        <v>#DIV/0!</v>
      </c>
    </row>
    <row r="51" spans="1:6" ht="15.75">
      <c r="A51" s="224">
        <v>2</v>
      </c>
      <c r="B51" s="225" t="s">
        <v>195</v>
      </c>
      <c r="C51" s="226">
        <f>C52+C53+C54+C55+C56+C57+C58</f>
        <v>3233</v>
      </c>
      <c r="D51" s="226">
        <f>D52+D53+D54+D55+D56+D57+D58</f>
        <v>1834</v>
      </c>
      <c r="E51" s="226">
        <f t="shared" si="0"/>
        <v>-1399</v>
      </c>
      <c r="F51" s="227">
        <f>D51/C51*100</f>
        <v>56.72749768017321</v>
      </c>
    </row>
    <row r="52" spans="1:6" ht="15.75">
      <c r="A52" s="224"/>
      <c r="B52" s="225" t="s">
        <v>309</v>
      </c>
      <c r="C52" s="226">
        <v>3205</v>
      </c>
      <c r="D52" s="226">
        <v>1650</v>
      </c>
      <c r="E52" s="226">
        <f t="shared" si="0"/>
        <v>-1555</v>
      </c>
      <c r="F52" s="227">
        <f t="shared" si="3"/>
        <v>51.482059282371296</v>
      </c>
    </row>
    <row r="53" spans="1:6" ht="15.75">
      <c r="A53" s="224"/>
      <c r="B53" s="225" t="s">
        <v>319</v>
      </c>
      <c r="C53" s="226">
        <v>28</v>
      </c>
      <c r="D53" s="226">
        <v>184</v>
      </c>
      <c r="E53" s="226">
        <f>D53-C53</f>
        <v>156</v>
      </c>
      <c r="F53" s="227">
        <f t="shared" si="3"/>
        <v>657.1428571428571</v>
      </c>
    </row>
  </sheetData>
  <sheetProtection/>
  <mergeCells count="10">
    <mergeCell ref="A2:F2"/>
    <mergeCell ref="A3:F3"/>
    <mergeCell ref="D4:F4"/>
    <mergeCell ref="A5:A7"/>
    <mergeCell ref="B5:B7"/>
    <mergeCell ref="C5:C7"/>
    <mergeCell ref="D5:D7"/>
    <mergeCell ref="E5:F5"/>
    <mergeCell ref="E6:E7"/>
    <mergeCell ref="F6:F7"/>
  </mergeCells>
  <printOptions horizontalCentered="1"/>
  <pageMargins left="0.5511811023622047" right="0.11811023622047245" top="0.32" bottom="0.3" header="0.25" footer="0.2362204724409449"/>
  <pageSetup fitToHeight="0" fitToWidth="1" horizontalDpi="600" verticalDpi="600" orientation="portrait" paperSize="9" scale="90" r:id="rId1"/>
  <headerFooter alignWithMargins="0">
    <oddHeader xml:space="preserve">&amp;C                                                                                                                                  </oddHeader>
    <oddFooter>&amp;C&amp;".VnTime,Italic"&amp;8
</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47"/>
  <sheetViews>
    <sheetView view="pageBreakPreview" zoomScaleNormal="85" zoomScaleSheetLayoutView="100" workbookViewId="0" topLeftCell="A3">
      <pane xSplit="2" ySplit="7" topLeftCell="C10" activePane="bottomRight" state="frozen"/>
      <selection pane="topLeft" activeCell="A3" sqref="A3"/>
      <selection pane="topRight" activeCell="C3" sqref="C3"/>
      <selection pane="bottomLeft" activeCell="A10" sqref="A10"/>
      <selection pane="bottomRight" activeCell="E37" sqref="E37"/>
    </sheetView>
  </sheetViews>
  <sheetFormatPr defaultColWidth="8.796875" defaultRowHeight="15"/>
  <cols>
    <col min="1" max="1" width="5.09765625" style="48" customWidth="1"/>
    <col min="2" max="2" width="37.59765625" style="48" customWidth="1"/>
    <col min="3" max="5" width="11.8984375" style="406" customWidth="1"/>
    <col min="6" max="8" width="11.8984375" style="48" customWidth="1"/>
    <col min="9" max="11" width="11.19921875" style="48" hidden="1" customWidth="1"/>
    <col min="12" max="16384" width="9" style="48" customWidth="1"/>
  </cols>
  <sheetData>
    <row r="1" spans="1:8" ht="21" customHeight="1">
      <c r="A1" s="65"/>
      <c r="B1" s="65"/>
      <c r="C1" s="388"/>
      <c r="D1" s="388"/>
      <c r="E1" s="388"/>
      <c r="G1" s="292" t="s">
        <v>188</v>
      </c>
      <c r="H1" s="292"/>
    </row>
    <row r="2" spans="1:8" ht="21" customHeight="1">
      <c r="A2" s="412" t="s">
        <v>143</v>
      </c>
      <c r="B2" s="412"/>
      <c r="C2" s="412"/>
      <c r="D2" s="412"/>
      <c r="E2" s="412"/>
      <c r="F2" s="412"/>
      <c r="G2" s="412"/>
      <c r="H2" s="289"/>
    </row>
    <row r="3" spans="1:8" ht="21" customHeight="1">
      <c r="A3" s="412" t="s">
        <v>356</v>
      </c>
      <c r="B3" s="412"/>
      <c r="C3" s="412"/>
      <c r="D3" s="412"/>
      <c r="E3" s="412"/>
      <c r="F3" s="412"/>
      <c r="G3" s="412"/>
      <c r="H3" s="289"/>
    </row>
    <row r="4" spans="1:8" ht="21" customHeight="1">
      <c r="A4" s="415" t="str">
        <f>PL15!A3</f>
        <v>(Kèm theo Nghị quyết số       /NQ-HĐND ngày          tháng 12 năm 2023 của HĐND huyện Tuần Giáo)</v>
      </c>
      <c r="B4" s="415"/>
      <c r="C4" s="415"/>
      <c r="D4" s="415"/>
      <c r="E4" s="415"/>
      <c r="F4" s="415"/>
      <c r="G4" s="415"/>
      <c r="H4" s="291"/>
    </row>
    <row r="5" spans="1:8" ht="19.5" customHeight="1">
      <c r="A5" s="69"/>
      <c r="B5" s="69"/>
      <c r="C5" s="389"/>
      <c r="D5" s="389"/>
      <c r="E5" s="389"/>
      <c r="F5" s="420" t="s">
        <v>90</v>
      </c>
      <c r="G5" s="420"/>
      <c r="H5" s="390"/>
    </row>
    <row r="6" spans="1:8" s="71" customFormat="1" ht="26.25" customHeight="1">
      <c r="A6" s="416" t="s">
        <v>60</v>
      </c>
      <c r="B6" s="413" t="s">
        <v>6</v>
      </c>
      <c r="C6" s="421" t="s">
        <v>277</v>
      </c>
      <c r="D6" s="421" t="s">
        <v>342</v>
      </c>
      <c r="E6" s="421" t="s">
        <v>350</v>
      </c>
      <c r="F6" s="413" t="s">
        <v>61</v>
      </c>
      <c r="G6" s="413"/>
      <c r="H6" s="391"/>
    </row>
    <row r="7" spans="1:8" s="71" customFormat="1" ht="26.25" customHeight="1">
      <c r="A7" s="416"/>
      <c r="B7" s="413"/>
      <c r="C7" s="421"/>
      <c r="D7" s="421"/>
      <c r="E7" s="421"/>
      <c r="F7" s="413" t="s">
        <v>91</v>
      </c>
      <c r="G7" s="416" t="s">
        <v>142</v>
      </c>
      <c r="H7" s="392"/>
    </row>
    <row r="8" spans="1:8" s="71" customFormat="1" ht="26.25" customHeight="1">
      <c r="A8" s="416"/>
      <c r="B8" s="413"/>
      <c r="C8" s="421"/>
      <c r="D8" s="421"/>
      <c r="E8" s="421"/>
      <c r="F8" s="413"/>
      <c r="G8" s="416"/>
      <c r="H8" s="392"/>
    </row>
    <row r="9" spans="1:8" s="29" customFormat="1" ht="17.25" customHeight="1">
      <c r="A9" s="28" t="s">
        <v>10</v>
      </c>
      <c r="B9" s="28" t="s">
        <v>11</v>
      </c>
      <c r="C9" s="28">
        <v>1</v>
      </c>
      <c r="D9" s="28">
        <v>2</v>
      </c>
      <c r="E9" s="28">
        <v>3</v>
      </c>
      <c r="F9" s="28">
        <v>4</v>
      </c>
      <c r="G9" s="28">
        <v>5</v>
      </c>
      <c r="H9" s="335"/>
    </row>
    <row r="10" spans="1:8" s="70" customFormat="1" ht="23.25" customHeight="1">
      <c r="A10" s="290" t="s">
        <v>10</v>
      </c>
      <c r="B10" s="393" t="s">
        <v>144</v>
      </c>
      <c r="C10" s="78"/>
      <c r="D10" s="78"/>
      <c r="E10" s="78"/>
      <c r="F10" s="79"/>
      <c r="G10" s="79"/>
      <c r="H10" s="394"/>
    </row>
    <row r="11" spans="1:11" s="73" customFormat="1" ht="23.25" customHeight="1">
      <c r="A11" s="290" t="s">
        <v>20</v>
      </c>
      <c r="B11" s="393" t="s">
        <v>0</v>
      </c>
      <c r="C11" s="294">
        <f>C12+C13+C18+C17</f>
        <v>801093</v>
      </c>
      <c r="D11" s="294">
        <f>D12+D13+D18+D17+D16</f>
        <v>968824</v>
      </c>
      <c r="E11" s="294">
        <f>E12+E13+E18+E17+E16</f>
        <v>955607</v>
      </c>
      <c r="F11" s="80">
        <f>E11-D11</f>
        <v>-13217</v>
      </c>
      <c r="G11" s="395">
        <f>E11/D11</f>
        <v>0.9863576872579539</v>
      </c>
      <c r="H11" s="396"/>
      <c r="I11" s="397">
        <f>+C11+C27</f>
        <v>948814</v>
      </c>
      <c r="J11" s="397">
        <f>+D11+D27</f>
        <v>1095883</v>
      </c>
      <c r="K11" s="397">
        <f>+E11+E27</f>
        <v>1102382</v>
      </c>
    </row>
    <row r="12" spans="1:11" s="70" customFormat="1" ht="23.25" customHeight="1">
      <c r="A12" s="47">
        <v>1</v>
      </c>
      <c r="B12" s="81" t="s">
        <v>51</v>
      </c>
      <c r="C12" s="78">
        <f>50600-C28</f>
        <v>46620</v>
      </c>
      <c r="D12" s="521">
        <f>C12+5250</f>
        <v>51870</v>
      </c>
      <c r="E12" s="78">
        <f>51000-E28</f>
        <v>47335</v>
      </c>
      <c r="F12" s="79">
        <f>E12-D12</f>
        <v>-4535</v>
      </c>
      <c r="G12" s="398">
        <f>E12/D12</f>
        <v>0.9125698862540967</v>
      </c>
      <c r="H12" s="399"/>
      <c r="I12" s="522">
        <f>+C12+C28</f>
        <v>50600</v>
      </c>
      <c r="J12" s="522">
        <f aca="true" t="shared" si="0" ref="J12:J19">+D12+D28</f>
        <v>56300</v>
      </c>
      <c r="K12" s="522">
        <f aca="true" t="shared" si="1" ref="K12:K18">+E12+E28</f>
        <v>51000</v>
      </c>
    </row>
    <row r="13" spans="1:11" s="70" customFormat="1" ht="23.25" customHeight="1">
      <c r="A13" s="82">
        <f>A12+1</f>
        <v>2</v>
      </c>
      <c r="B13" s="81" t="s">
        <v>46</v>
      </c>
      <c r="C13" s="78">
        <f>C14+C15</f>
        <v>754473</v>
      </c>
      <c r="D13" s="78">
        <f>D14+D15</f>
        <v>835710</v>
      </c>
      <c r="E13" s="78">
        <f>E14+E15</f>
        <v>908272</v>
      </c>
      <c r="F13" s="79">
        <f>E13-D13</f>
        <v>72562</v>
      </c>
      <c r="G13" s="398">
        <f>E13/D13</f>
        <v>1.0868267700518122</v>
      </c>
      <c r="H13" s="399"/>
      <c r="I13" s="522">
        <f aca="true" t="shared" si="2" ref="I13:I20">+C13+C29</f>
        <v>898214</v>
      </c>
      <c r="J13" s="522">
        <f t="shared" si="0"/>
        <v>947181</v>
      </c>
      <c r="K13" s="522">
        <f t="shared" si="1"/>
        <v>1051382</v>
      </c>
    </row>
    <row r="14" spans="1:11" s="70" customFormat="1" ht="23.25" customHeight="1">
      <c r="A14" s="47" t="s">
        <v>17</v>
      </c>
      <c r="B14" s="81" t="s">
        <v>77</v>
      </c>
      <c r="C14" s="78">
        <f>684106-C30</f>
        <v>595215</v>
      </c>
      <c r="D14" s="78">
        <f>C14</f>
        <v>595215</v>
      </c>
      <c r="E14" s="521">
        <f>775002+3410+70-E30</f>
        <v>669557</v>
      </c>
      <c r="F14" s="79">
        <f>E14-D14</f>
        <v>74342</v>
      </c>
      <c r="G14" s="398">
        <f>E14/D14</f>
        <v>1.1248994060969566</v>
      </c>
      <c r="H14" s="399"/>
      <c r="I14" s="397">
        <f>+C14+C30</f>
        <v>684106</v>
      </c>
      <c r="J14" s="397">
        <f>+D14+D30</f>
        <v>684106</v>
      </c>
      <c r="K14" s="397">
        <f t="shared" si="1"/>
        <v>778482</v>
      </c>
    </row>
    <row r="15" spans="1:11" s="70" customFormat="1" ht="23.25" customHeight="1">
      <c r="A15" s="47" t="s">
        <v>17</v>
      </c>
      <c r="B15" s="81" t="s">
        <v>88</v>
      </c>
      <c r="C15" s="78">
        <f>214108-C31</f>
        <v>159258</v>
      </c>
      <c r="D15" s="78">
        <f>263075-D31</f>
        <v>240495</v>
      </c>
      <c r="E15" s="521">
        <f>149570+123330-E31</f>
        <v>238715</v>
      </c>
      <c r="F15" s="79">
        <f>E15-D15</f>
        <v>-1780</v>
      </c>
      <c r="G15" s="398">
        <f>E15/D15</f>
        <v>0.9925985987234662</v>
      </c>
      <c r="H15" s="399"/>
      <c r="I15" s="397">
        <f t="shared" si="2"/>
        <v>214108</v>
      </c>
      <c r="J15" s="397">
        <f t="shared" si="0"/>
        <v>263075</v>
      </c>
      <c r="K15" s="397">
        <f t="shared" si="1"/>
        <v>272900</v>
      </c>
    </row>
    <row r="16" spans="1:11" s="70" customFormat="1" ht="23.25" customHeight="1">
      <c r="A16" s="82">
        <v>3</v>
      </c>
      <c r="B16" s="81" t="s">
        <v>320</v>
      </c>
      <c r="C16" s="78"/>
      <c r="D16" s="78">
        <v>395</v>
      </c>
      <c r="E16" s="78"/>
      <c r="F16" s="79"/>
      <c r="G16" s="398"/>
      <c r="H16" s="399"/>
      <c r="I16" s="522">
        <f t="shared" si="2"/>
        <v>0</v>
      </c>
      <c r="J16" s="522">
        <f t="shared" si="0"/>
        <v>395</v>
      </c>
      <c r="K16" s="522">
        <f t="shared" si="1"/>
        <v>0</v>
      </c>
    </row>
    <row r="17" spans="1:11" s="70" customFormat="1" ht="23.25" customHeight="1">
      <c r="A17" s="82">
        <v>4</v>
      </c>
      <c r="B17" s="81" t="s">
        <v>72</v>
      </c>
      <c r="C17" s="78"/>
      <c r="D17" s="78">
        <f>92007-D33</f>
        <v>80849</v>
      </c>
      <c r="E17" s="78"/>
      <c r="F17" s="79"/>
      <c r="G17" s="398"/>
      <c r="H17" s="399"/>
      <c r="I17" s="522">
        <f t="shared" si="2"/>
        <v>0</v>
      </c>
      <c r="J17" s="522">
        <f>+D17+D33</f>
        <v>92007</v>
      </c>
      <c r="K17" s="522">
        <f t="shared" si="1"/>
        <v>0</v>
      </c>
    </row>
    <row r="18" spans="1:11" s="70" customFormat="1" ht="23.25" customHeight="1">
      <c r="A18" s="82">
        <v>5</v>
      </c>
      <c r="B18" s="81" t="s">
        <v>44</v>
      </c>
      <c r="C18" s="78"/>
      <c r="D18" s="78"/>
      <c r="E18" s="78"/>
      <c r="F18" s="79"/>
      <c r="G18" s="398"/>
      <c r="H18" s="399"/>
      <c r="I18" s="397"/>
      <c r="J18" s="397"/>
      <c r="K18" s="397"/>
    </row>
    <row r="19" spans="1:11" s="73" customFormat="1" ht="23.25" customHeight="1">
      <c r="A19" s="290" t="s">
        <v>21</v>
      </c>
      <c r="B19" s="393" t="s">
        <v>50</v>
      </c>
      <c r="C19" s="294">
        <f>C20+C21+C24+C25</f>
        <v>801093</v>
      </c>
      <c r="D19" s="294">
        <f>D20+D21+D24+D25</f>
        <v>968824</v>
      </c>
      <c r="E19" s="294">
        <f>E20+E21+E24+E25</f>
        <v>955607</v>
      </c>
      <c r="F19" s="80">
        <f>F20+F21+F24+F25</f>
        <v>154514</v>
      </c>
      <c r="G19" s="395">
        <f>E19/D19</f>
        <v>0.9863576872579539</v>
      </c>
      <c r="H19" s="396"/>
      <c r="I19" s="397">
        <f t="shared" si="2"/>
        <v>948814</v>
      </c>
      <c r="J19" s="397">
        <f>+D19+D35</f>
        <v>1095883</v>
      </c>
      <c r="K19" s="397">
        <f>+E19+E35</f>
        <v>1102382</v>
      </c>
    </row>
    <row r="20" spans="1:11" s="70" customFormat="1" ht="23.25" customHeight="1">
      <c r="A20" s="47">
        <v>1</v>
      </c>
      <c r="B20" s="81" t="s">
        <v>145</v>
      </c>
      <c r="C20" s="400">
        <f>C11-C21</f>
        <v>657352</v>
      </c>
      <c r="D20" s="78">
        <f>D11-D21-D24-D25</f>
        <v>771319</v>
      </c>
      <c r="E20" s="78">
        <f>E11-E21-E24-E25</f>
        <v>812497</v>
      </c>
      <c r="F20" s="79">
        <f>E20-C20</f>
        <v>155145</v>
      </c>
      <c r="G20" s="398">
        <f>E20/D20</f>
        <v>1.0533864717451535</v>
      </c>
      <c r="H20" s="399"/>
      <c r="I20" s="522">
        <f t="shared" si="2"/>
        <v>805073</v>
      </c>
      <c r="J20" s="522">
        <f>+D20+D36</f>
        <v>895196</v>
      </c>
      <c r="K20" s="522">
        <f>+E20+E36</f>
        <v>959272</v>
      </c>
    </row>
    <row r="21" spans="1:11" s="70" customFormat="1" ht="23.25" customHeight="1">
      <c r="A21" s="82">
        <f>A20+1</f>
        <v>2</v>
      </c>
      <c r="B21" s="81" t="s">
        <v>76</v>
      </c>
      <c r="C21" s="400">
        <f>C22+C23</f>
        <v>143741</v>
      </c>
      <c r="D21" s="78">
        <f>D22+D23</f>
        <v>111471</v>
      </c>
      <c r="E21" s="400">
        <f>E22+E23</f>
        <v>143110</v>
      </c>
      <c r="F21" s="79">
        <f>E21-C21</f>
        <v>-631</v>
      </c>
      <c r="G21" s="398">
        <f>E21/D21</f>
        <v>1.2838316692233855</v>
      </c>
      <c r="H21" s="399"/>
      <c r="I21" s="522">
        <f aca="true" t="shared" si="3" ref="I21:J23">+C21</f>
        <v>143741</v>
      </c>
      <c r="J21" s="522">
        <f>+D21</f>
        <v>111471</v>
      </c>
      <c r="K21" s="522">
        <f>+E21</f>
        <v>143110</v>
      </c>
    </row>
    <row r="22" spans="1:11" s="70" customFormat="1" ht="23.25" customHeight="1">
      <c r="A22" s="47" t="s">
        <v>17</v>
      </c>
      <c r="B22" s="81" t="s">
        <v>1</v>
      </c>
      <c r="C22" s="400">
        <f aca="true" t="shared" si="4" ref="C22:E23">C30</f>
        <v>88891</v>
      </c>
      <c r="D22" s="78">
        <f t="shared" si="4"/>
        <v>88891</v>
      </c>
      <c r="E22" s="400">
        <f t="shared" si="4"/>
        <v>108925</v>
      </c>
      <c r="F22" s="79">
        <f>E22-C22</f>
        <v>20034</v>
      </c>
      <c r="G22" s="398">
        <f>E22/D22</f>
        <v>1.2253771472927517</v>
      </c>
      <c r="H22" s="399"/>
      <c r="I22" s="397">
        <f t="shared" si="3"/>
        <v>88891</v>
      </c>
      <c r="J22" s="397">
        <f t="shared" si="3"/>
        <v>88891</v>
      </c>
      <c r="K22" s="397">
        <f>+E22</f>
        <v>108925</v>
      </c>
    </row>
    <row r="23" spans="1:11" s="70" customFormat="1" ht="23.25" customHeight="1">
      <c r="A23" s="47" t="s">
        <v>17</v>
      </c>
      <c r="B23" s="81" t="s">
        <v>89</v>
      </c>
      <c r="C23" s="78">
        <f t="shared" si="4"/>
        <v>54850</v>
      </c>
      <c r="D23" s="78">
        <f t="shared" si="4"/>
        <v>22580</v>
      </c>
      <c r="E23" s="78">
        <f t="shared" si="4"/>
        <v>34185</v>
      </c>
      <c r="F23" s="79">
        <f>E23-C23</f>
        <v>-20665</v>
      </c>
      <c r="G23" s="398">
        <f>E23/D23</f>
        <v>1.5139503985828167</v>
      </c>
      <c r="H23" s="399"/>
      <c r="I23" s="397">
        <f t="shared" si="3"/>
        <v>54850</v>
      </c>
      <c r="J23" s="397">
        <f t="shared" si="3"/>
        <v>22580</v>
      </c>
      <c r="K23" s="397">
        <f>+E23</f>
        <v>34185</v>
      </c>
    </row>
    <row r="24" spans="1:11" s="70" customFormat="1" ht="23.25" customHeight="1">
      <c r="A24" s="82">
        <f>A21+1</f>
        <v>3</v>
      </c>
      <c r="B24" s="81" t="s">
        <v>218</v>
      </c>
      <c r="C24" s="78"/>
      <c r="D24" s="78">
        <v>647</v>
      </c>
      <c r="E24" s="78"/>
      <c r="F24" s="79"/>
      <c r="G24" s="398"/>
      <c r="H24" s="399"/>
      <c r="I24" s="522">
        <f aca="true" t="shared" si="5" ref="I24:K25">+C24+C37</f>
        <v>0</v>
      </c>
      <c r="J24" s="522">
        <f>+D24+D37</f>
        <v>1042</v>
      </c>
      <c r="K24" s="522">
        <f t="shared" si="5"/>
        <v>0</v>
      </c>
    </row>
    <row r="25" spans="1:11" s="70" customFormat="1" ht="23.25" customHeight="1">
      <c r="A25" s="82">
        <v>4</v>
      </c>
      <c r="B25" s="81" t="s">
        <v>66</v>
      </c>
      <c r="C25" s="78"/>
      <c r="D25" s="521">
        <f>82869+5305-D38</f>
        <v>85387</v>
      </c>
      <c r="E25" s="78"/>
      <c r="F25" s="79"/>
      <c r="G25" s="398"/>
      <c r="H25" s="399"/>
      <c r="I25" s="522">
        <f t="shared" si="5"/>
        <v>0</v>
      </c>
      <c r="J25" s="522">
        <f>+D25+D38</f>
        <v>88174</v>
      </c>
      <c r="K25" s="522">
        <f t="shared" si="5"/>
        <v>0</v>
      </c>
    </row>
    <row r="26" spans="1:8" s="70" customFormat="1" ht="23.25" customHeight="1">
      <c r="A26" s="290" t="s">
        <v>11</v>
      </c>
      <c r="B26" s="83" t="s">
        <v>146</v>
      </c>
      <c r="C26" s="294"/>
      <c r="D26" s="294"/>
      <c r="E26" s="294"/>
      <c r="F26" s="80"/>
      <c r="G26" s="395"/>
      <c r="H26" s="396"/>
    </row>
    <row r="27" spans="1:8" s="70" customFormat="1" ht="23.25" customHeight="1">
      <c r="A27" s="290" t="s">
        <v>20</v>
      </c>
      <c r="B27" s="393" t="s">
        <v>2</v>
      </c>
      <c r="C27" s="294">
        <f>+C28+C29+C34+C33</f>
        <v>147721</v>
      </c>
      <c r="D27" s="294">
        <f>+D28+D29+D34+D33</f>
        <v>127059</v>
      </c>
      <c r="E27" s="294">
        <f>+E28+E29+E34+E33</f>
        <v>146775</v>
      </c>
      <c r="F27" s="80">
        <f>E27-D27</f>
        <v>19716</v>
      </c>
      <c r="G27" s="395">
        <f>E27/D27</f>
        <v>1.1551720067055462</v>
      </c>
      <c r="H27" s="396"/>
    </row>
    <row r="28" spans="1:8" s="70" customFormat="1" ht="23.25" customHeight="1">
      <c r="A28" s="47">
        <v>1</v>
      </c>
      <c r="B28" s="81" t="s">
        <v>51</v>
      </c>
      <c r="C28" s="78">
        <v>3980</v>
      </c>
      <c r="D28" s="521">
        <f>C28+450</f>
        <v>4430</v>
      </c>
      <c r="E28" s="78">
        <v>3665</v>
      </c>
      <c r="F28" s="79">
        <f>E28-D28</f>
        <v>-765</v>
      </c>
      <c r="G28" s="398">
        <f>E28/D28</f>
        <v>0.827313769751693</v>
      </c>
      <c r="H28" s="399"/>
    </row>
    <row r="29" spans="1:8" s="70" customFormat="1" ht="23.25" customHeight="1">
      <c r="A29" s="82">
        <f>A28+1</f>
        <v>2</v>
      </c>
      <c r="B29" s="81" t="s">
        <v>46</v>
      </c>
      <c r="C29" s="78">
        <f>SUM(C30:C31)</f>
        <v>143741</v>
      </c>
      <c r="D29" s="78">
        <f>SUM(D30:D31)</f>
        <v>111471</v>
      </c>
      <c r="E29" s="78">
        <f>SUM(E30:E31)</f>
        <v>143110</v>
      </c>
      <c r="F29" s="79">
        <f>E29-D29</f>
        <v>31639</v>
      </c>
      <c r="G29" s="398">
        <f>E29/D29</f>
        <v>1.2838316692233855</v>
      </c>
      <c r="H29" s="399"/>
    </row>
    <row r="30" spans="1:8" s="70" customFormat="1" ht="23.25" customHeight="1">
      <c r="A30" s="47" t="s">
        <v>17</v>
      </c>
      <c r="B30" s="81" t="s">
        <v>77</v>
      </c>
      <c r="C30" s="400">
        <v>88891</v>
      </c>
      <c r="D30" s="401">
        <f>C30</f>
        <v>88891</v>
      </c>
      <c r="E30" s="400">
        <v>108925</v>
      </c>
      <c r="F30" s="79">
        <f>E30-D30</f>
        <v>20034</v>
      </c>
      <c r="G30" s="398">
        <f>E30/D30</f>
        <v>1.2253771472927517</v>
      </c>
      <c r="H30" s="399"/>
    </row>
    <row r="31" spans="1:8" s="70" customFormat="1" ht="23.25" customHeight="1">
      <c r="A31" s="47" t="s">
        <v>17</v>
      </c>
      <c r="B31" s="81" t="s">
        <v>88</v>
      </c>
      <c r="C31" s="400">
        <v>54850</v>
      </c>
      <c r="D31" s="401">
        <f>C31+11148+2787-46205</f>
        <v>22580</v>
      </c>
      <c r="E31" s="400">
        <v>34185</v>
      </c>
      <c r="F31" s="79">
        <f>E31-D31</f>
        <v>11605</v>
      </c>
      <c r="G31" s="398">
        <f>E31/D31</f>
        <v>1.5139503985828167</v>
      </c>
      <c r="H31" s="399"/>
    </row>
    <row r="32" spans="1:8" s="70" customFormat="1" ht="23.25" customHeight="1" hidden="1">
      <c r="A32" s="47"/>
      <c r="B32" s="81"/>
      <c r="C32" s="400"/>
      <c r="D32" s="400"/>
      <c r="E32" s="400"/>
      <c r="F32" s="79"/>
      <c r="G32" s="398"/>
      <c r="H32" s="399"/>
    </row>
    <row r="33" spans="1:8" s="70" customFormat="1" ht="23.25" customHeight="1">
      <c r="A33" s="82">
        <v>3</v>
      </c>
      <c r="B33" s="81" t="s">
        <v>72</v>
      </c>
      <c r="C33" s="78"/>
      <c r="D33" s="78">
        <v>11158</v>
      </c>
      <c r="E33" s="78"/>
      <c r="F33" s="79"/>
      <c r="G33" s="398"/>
      <c r="H33" s="399"/>
    </row>
    <row r="34" spans="1:8" s="70" customFormat="1" ht="23.25" customHeight="1">
      <c r="A34" s="82">
        <v>4</v>
      </c>
      <c r="B34" s="81" t="s">
        <v>44</v>
      </c>
      <c r="C34" s="78"/>
      <c r="D34" s="78"/>
      <c r="E34" s="78"/>
      <c r="F34" s="402"/>
      <c r="G34" s="398"/>
      <c r="H34" s="399"/>
    </row>
    <row r="35" spans="1:8" s="70" customFormat="1" ht="23.25" customHeight="1">
      <c r="A35" s="290" t="s">
        <v>21</v>
      </c>
      <c r="B35" s="393" t="s">
        <v>50</v>
      </c>
      <c r="C35" s="294">
        <f>C36+C37+C38</f>
        <v>147721</v>
      </c>
      <c r="D35" s="294">
        <f>D36+D37+D38</f>
        <v>127059</v>
      </c>
      <c r="E35" s="294">
        <f>E36+E37+E38</f>
        <v>146775</v>
      </c>
      <c r="F35" s="80">
        <f>F36+F37+F38</f>
        <v>-946</v>
      </c>
      <c r="G35" s="395">
        <f>E35/D35</f>
        <v>1.1551720067055462</v>
      </c>
      <c r="H35" s="396"/>
    </row>
    <row r="36" spans="1:8" s="70" customFormat="1" ht="23.25" customHeight="1">
      <c r="A36" s="47">
        <v>1</v>
      </c>
      <c r="B36" s="81" t="s">
        <v>147</v>
      </c>
      <c r="C36" s="78">
        <f>C27</f>
        <v>147721</v>
      </c>
      <c r="D36" s="78">
        <f>D27-D37-D38</f>
        <v>123877</v>
      </c>
      <c r="E36" s="78">
        <f>E27</f>
        <v>146775</v>
      </c>
      <c r="F36" s="79">
        <f>E36-C36</f>
        <v>-946</v>
      </c>
      <c r="G36" s="398">
        <f>E36/D36</f>
        <v>1.1848446442842497</v>
      </c>
      <c r="H36" s="399"/>
    </row>
    <row r="37" spans="1:8" s="70" customFormat="1" ht="23.25" customHeight="1">
      <c r="A37" s="47">
        <v>2</v>
      </c>
      <c r="B37" s="81" t="s">
        <v>218</v>
      </c>
      <c r="C37" s="78"/>
      <c r="D37" s="78">
        <v>395</v>
      </c>
      <c r="E37" s="78"/>
      <c r="F37" s="79"/>
      <c r="G37" s="398"/>
      <c r="H37" s="399"/>
    </row>
    <row r="38" spans="1:8" s="70" customFormat="1" ht="23.25" customHeight="1" thickBot="1">
      <c r="A38" s="403">
        <v>3</v>
      </c>
      <c r="B38" s="404" t="s">
        <v>66</v>
      </c>
      <c r="C38" s="274"/>
      <c r="D38" s="274">
        <v>2787</v>
      </c>
      <c r="E38" s="274"/>
      <c r="F38" s="255"/>
      <c r="G38" s="405"/>
      <c r="H38" s="399"/>
    </row>
    <row r="39" spans="1:8" ht="19.5" thickTop="1">
      <c r="A39" s="70"/>
      <c r="B39" s="70"/>
      <c r="C39" s="389"/>
      <c r="D39" s="389"/>
      <c r="E39" s="389"/>
      <c r="F39" s="70"/>
      <c r="G39" s="70"/>
      <c r="H39" s="70"/>
    </row>
    <row r="40" spans="1:8" ht="18.75">
      <c r="A40" s="70"/>
      <c r="B40" s="70"/>
      <c r="C40" s="389"/>
      <c r="D40" s="389"/>
      <c r="E40" s="389"/>
      <c r="F40" s="70"/>
      <c r="G40" s="70"/>
      <c r="H40" s="70"/>
    </row>
    <row r="41" spans="1:8" ht="18.75">
      <c r="A41" s="70"/>
      <c r="B41" s="70"/>
      <c r="C41" s="389"/>
      <c r="D41" s="389"/>
      <c r="E41" s="389"/>
      <c r="F41" s="70"/>
      <c r="G41" s="70"/>
      <c r="H41" s="70"/>
    </row>
    <row r="42" spans="1:8" ht="18.75">
      <c r="A42" s="70"/>
      <c r="B42" s="70"/>
      <c r="C42" s="389"/>
      <c r="D42" s="389"/>
      <c r="E42" s="389"/>
      <c r="F42" s="70"/>
      <c r="G42" s="70"/>
      <c r="H42" s="70"/>
    </row>
    <row r="43" spans="1:8" ht="22.5" customHeight="1">
      <c r="A43" s="70"/>
      <c r="B43" s="70"/>
      <c r="C43" s="389"/>
      <c r="D43" s="389"/>
      <c r="E43" s="389"/>
      <c r="F43" s="70"/>
      <c r="G43" s="70"/>
      <c r="H43" s="70"/>
    </row>
    <row r="44" spans="1:8" ht="18.75">
      <c r="A44" s="70"/>
      <c r="B44" s="70"/>
      <c r="C44" s="389"/>
      <c r="D44" s="389"/>
      <c r="E44" s="389"/>
      <c r="F44" s="70"/>
      <c r="G44" s="70"/>
      <c r="H44" s="70"/>
    </row>
    <row r="45" spans="1:8" ht="18.75">
      <c r="A45" s="70"/>
      <c r="B45" s="70"/>
      <c r="C45" s="389"/>
      <c r="D45" s="389"/>
      <c r="E45" s="389"/>
      <c r="F45" s="70"/>
      <c r="G45" s="70"/>
      <c r="H45" s="70"/>
    </row>
    <row r="46" spans="1:8" ht="18.75">
      <c r="A46" s="70"/>
      <c r="B46" s="70"/>
      <c r="C46" s="389"/>
      <c r="D46" s="389"/>
      <c r="E46" s="389"/>
      <c r="F46" s="70"/>
      <c r="G46" s="70"/>
      <c r="H46" s="70"/>
    </row>
    <row r="47" spans="1:8" ht="18.75">
      <c r="A47" s="70"/>
      <c r="B47" s="70"/>
      <c r="C47" s="389"/>
      <c r="D47" s="389"/>
      <c r="E47" s="389"/>
      <c r="F47" s="70"/>
      <c r="G47" s="70"/>
      <c r="H47" s="70"/>
    </row>
  </sheetData>
  <sheetProtection/>
  <mergeCells count="12">
    <mergeCell ref="F7:F8"/>
    <mergeCell ref="G7:G8"/>
    <mergeCell ref="A2:G2"/>
    <mergeCell ref="A3:G3"/>
    <mergeCell ref="A4:G4"/>
    <mergeCell ref="F5:G5"/>
    <mergeCell ref="A6:A8"/>
    <mergeCell ref="B6:B8"/>
    <mergeCell ref="C6:C8"/>
    <mergeCell ref="D6:D8"/>
    <mergeCell ref="E6:E8"/>
    <mergeCell ref="F6:G6"/>
  </mergeCells>
  <printOptions horizontalCentered="1"/>
  <pageMargins left="0.54" right="0.3" top="0.82" bottom="0.17" header="0.48" footer="0.2"/>
  <pageSetup fitToHeight="0" fitToWidth="1" horizontalDpi="600" verticalDpi="600" orientation="portrait" paperSize="9" scale="87" r:id="rId1"/>
  <headerFooter alignWithMargins="0">
    <oddFooter>&amp;C&amp;".VnTime,Italic"&amp;8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view="pageBreakPreview" zoomScale="80" zoomScaleSheetLayoutView="80" zoomScalePageLayoutView="0" workbookViewId="0" topLeftCell="A1">
      <selection activeCell="E15" sqref="E15"/>
    </sheetView>
  </sheetViews>
  <sheetFormatPr defaultColWidth="8.796875" defaultRowHeight="15"/>
  <cols>
    <col min="1" max="1" width="6" style="38" customWidth="1"/>
    <col min="2" max="2" width="15" style="38" bestFit="1" customWidth="1"/>
    <col min="3" max="5" width="9" style="38" customWidth="1"/>
    <col min="6" max="6" width="10.69921875" style="38" customWidth="1"/>
    <col min="7" max="9" width="9" style="38" customWidth="1"/>
    <col min="10" max="10" width="11" style="38" customWidth="1"/>
    <col min="11" max="13" width="9" style="38" customWidth="1"/>
    <col min="14" max="14" width="10.8984375" style="38" customWidth="1"/>
    <col min="15" max="16384" width="9" style="38" customWidth="1"/>
  </cols>
  <sheetData>
    <row r="1" spans="1:14" s="26" customFormat="1" ht="19.5" customHeight="1">
      <c r="A1" s="48"/>
      <c r="B1" s="65"/>
      <c r="C1" s="67"/>
      <c r="D1" s="67"/>
      <c r="E1" s="425"/>
      <c r="F1" s="425"/>
      <c r="G1" s="425"/>
      <c r="H1" s="425"/>
      <c r="I1" s="425"/>
      <c r="J1" s="425"/>
      <c r="K1" s="48"/>
      <c r="L1" s="48"/>
      <c r="M1" s="48"/>
      <c r="N1" s="68" t="s">
        <v>241</v>
      </c>
    </row>
    <row r="2" spans="1:14" s="26" customFormat="1" ht="19.5" customHeight="1">
      <c r="A2" s="412" t="s">
        <v>359</v>
      </c>
      <c r="B2" s="412"/>
      <c r="C2" s="412"/>
      <c r="D2" s="412"/>
      <c r="E2" s="412"/>
      <c r="F2" s="412"/>
      <c r="G2" s="412"/>
      <c r="H2" s="412"/>
      <c r="I2" s="412"/>
      <c r="J2" s="412"/>
      <c r="K2" s="412"/>
      <c r="L2" s="412"/>
      <c r="M2" s="412"/>
      <c r="N2" s="412"/>
    </row>
    <row r="3" spans="1:14" s="26" customFormat="1" ht="18" customHeight="1">
      <c r="A3" s="415" t="str">
        <f>PL30!A4</f>
        <v>(Kèm theo Nghị quyết số       /NQ-HĐND ngày          tháng 12 năm 2023 của HĐND huyện Tuần Giáo)</v>
      </c>
      <c r="B3" s="415"/>
      <c r="C3" s="415"/>
      <c r="D3" s="415"/>
      <c r="E3" s="415"/>
      <c r="F3" s="415"/>
      <c r="G3" s="415"/>
      <c r="H3" s="415"/>
      <c r="I3" s="415"/>
      <c r="J3" s="415"/>
      <c r="K3" s="415"/>
      <c r="L3" s="415"/>
      <c r="M3" s="415"/>
      <c r="N3" s="415"/>
    </row>
    <row r="4" spans="1:14" s="26" customFormat="1" ht="18.75" customHeight="1">
      <c r="A4" s="48"/>
      <c r="B4" s="88"/>
      <c r="C4" s="88"/>
      <c r="D4" s="88"/>
      <c r="E4" s="88"/>
      <c r="F4" s="88"/>
      <c r="G4" s="88"/>
      <c r="H4" s="88"/>
      <c r="I4" s="88"/>
      <c r="J4" s="88"/>
      <c r="K4" s="48"/>
      <c r="L4" s="48"/>
      <c r="M4" s="424" t="s">
        <v>90</v>
      </c>
      <c r="N4" s="424"/>
    </row>
    <row r="5" spans="1:14" ht="23.25" customHeight="1">
      <c r="A5" s="416" t="s">
        <v>60</v>
      </c>
      <c r="B5" s="416" t="s">
        <v>243</v>
      </c>
      <c r="C5" s="416" t="s">
        <v>342</v>
      </c>
      <c r="D5" s="416"/>
      <c r="E5" s="416"/>
      <c r="F5" s="416"/>
      <c r="G5" s="416" t="s">
        <v>350</v>
      </c>
      <c r="H5" s="416"/>
      <c r="I5" s="416"/>
      <c r="J5" s="416"/>
      <c r="K5" s="416" t="s">
        <v>94</v>
      </c>
      <c r="L5" s="416"/>
      <c r="M5" s="416"/>
      <c r="N5" s="416"/>
    </row>
    <row r="6" spans="1:14" ht="23.25" customHeight="1">
      <c r="A6" s="416"/>
      <c r="B6" s="416"/>
      <c r="C6" s="416" t="s">
        <v>79</v>
      </c>
      <c r="D6" s="416" t="s">
        <v>47</v>
      </c>
      <c r="E6" s="416"/>
      <c r="F6" s="416"/>
      <c r="G6" s="416" t="s">
        <v>232</v>
      </c>
      <c r="H6" s="416" t="s">
        <v>47</v>
      </c>
      <c r="I6" s="416"/>
      <c r="J6" s="416"/>
      <c r="K6" s="416" t="s">
        <v>79</v>
      </c>
      <c r="L6" s="416" t="s">
        <v>47</v>
      </c>
      <c r="M6" s="416"/>
      <c r="N6" s="416"/>
    </row>
    <row r="7" spans="1:14" ht="53.25" customHeight="1">
      <c r="A7" s="416"/>
      <c r="B7" s="416"/>
      <c r="C7" s="416"/>
      <c r="D7" s="285" t="s">
        <v>12</v>
      </c>
      <c r="E7" s="285" t="s">
        <v>233</v>
      </c>
      <c r="F7" s="285" t="s">
        <v>234</v>
      </c>
      <c r="G7" s="416"/>
      <c r="H7" s="285" t="s">
        <v>12</v>
      </c>
      <c r="I7" s="285" t="s">
        <v>235</v>
      </c>
      <c r="J7" s="285" t="s">
        <v>236</v>
      </c>
      <c r="K7" s="416"/>
      <c r="L7" s="285" t="s">
        <v>12</v>
      </c>
      <c r="M7" s="285" t="s">
        <v>235</v>
      </c>
      <c r="N7" s="285" t="s">
        <v>236</v>
      </c>
    </row>
    <row r="8" spans="1:14" s="40" customFormat="1" ht="17.25" customHeight="1">
      <c r="A8" s="39" t="s">
        <v>10</v>
      </c>
      <c r="B8" s="39" t="s">
        <v>11</v>
      </c>
      <c r="C8" s="39">
        <v>1</v>
      </c>
      <c r="D8" s="39">
        <v>2</v>
      </c>
      <c r="E8" s="39">
        <v>3</v>
      </c>
      <c r="F8" s="39">
        <v>4</v>
      </c>
      <c r="G8" s="39">
        <v>5</v>
      </c>
      <c r="H8" s="39">
        <v>6</v>
      </c>
      <c r="I8" s="39">
        <v>7</v>
      </c>
      <c r="J8" s="39">
        <v>8</v>
      </c>
      <c r="K8" s="39" t="s">
        <v>237</v>
      </c>
      <c r="L8" s="39" t="s">
        <v>238</v>
      </c>
      <c r="M8" s="39" t="s">
        <v>239</v>
      </c>
      <c r="N8" s="39" t="s">
        <v>240</v>
      </c>
    </row>
    <row r="9" spans="1:14" ht="19.5" customHeight="1">
      <c r="A9" s="284"/>
      <c r="B9" s="83" t="s">
        <v>30</v>
      </c>
      <c r="C9" s="80">
        <f>SUM(C10:C28)</f>
        <v>3980</v>
      </c>
      <c r="D9" s="80">
        <f>SUM(D10:D28)</f>
        <v>3980</v>
      </c>
      <c r="E9" s="80">
        <f aca="true" t="shared" si="0" ref="E9:J9">SUM(E10:E28)</f>
        <v>0</v>
      </c>
      <c r="F9" s="80">
        <f t="shared" si="0"/>
        <v>0</v>
      </c>
      <c r="G9" s="80">
        <f t="shared" si="0"/>
        <v>3665</v>
      </c>
      <c r="H9" s="80">
        <f t="shared" si="0"/>
        <v>3665</v>
      </c>
      <c r="I9" s="80">
        <f t="shared" si="0"/>
        <v>0</v>
      </c>
      <c r="J9" s="80">
        <f t="shared" si="0"/>
        <v>0</v>
      </c>
      <c r="K9" s="93">
        <f>G9/C9</f>
        <v>0.9208542713567839</v>
      </c>
      <c r="L9" s="93">
        <f>H9/D9</f>
        <v>0.9208542713567839</v>
      </c>
      <c r="M9" s="91"/>
      <c r="N9" s="91"/>
    </row>
    <row r="10" spans="1:14" ht="19.5" customHeight="1">
      <c r="A10" s="92">
        <v>1</v>
      </c>
      <c r="B10" s="79" t="s">
        <v>285</v>
      </c>
      <c r="C10" s="79">
        <f>SUM(D10:F10)</f>
        <v>105</v>
      </c>
      <c r="D10" s="79">
        <v>105</v>
      </c>
      <c r="E10" s="79"/>
      <c r="F10" s="79"/>
      <c r="G10" s="79">
        <f>SUM(H10:J10)</f>
        <v>80</v>
      </c>
      <c r="H10" s="79">
        <v>80</v>
      </c>
      <c r="I10" s="79"/>
      <c r="J10" s="79"/>
      <c r="K10" s="93">
        <f>G10/C10</f>
        <v>0.7619047619047619</v>
      </c>
      <c r="L10" s="93">
        <f>H10/D10</f>
        <v>0.7619047619047619</v>
      </c>
      <c r="M10" s="93"/>
      <c r="N10" s="93"/>
    </row>
    <row r="11" spans="1:14" ht="19.5" customHeight="1">
      <c r="A11" s="92">
        <v>2</v>
      </c>
      <c r="B11" s="79" t="s">
        <v>286</v>
      </c>
      <c r="C11" s="79">
        <f aca="true" t="shared" si="1" ref="C11:C28">SUM(D11:F11)</f>
        <v>28</v>
      </c>
      <c r="D11" s="79">
        <v>28</v>
      </c>
      <c r="E11" s="79"/>
      <c r="F11" s="79"/>
      <c r="G11" s="79">
        <f aca="true" t="shared" si="2" ref="G11:G28">SUM(H11:J11)</f>
        <v>18</v>
      </c>
      <c r="H11" s="79">
        <v>18</v>
      </c>
      <c r="I11" s="79"/>
      <c r="J11" s="79"/>
      <c r="K11" s="93">
        <f aca="true" t="shared" si="3" ref="K11:L28">G11/C11</f>
        <v>0.6428571428571429</v>
      </c>
      <c r="L11" s="93">
        <f t="shared" si="3"/>
        <v>0.6428571428571429</v>
      </c>
      <c r="M11" s="93"/>
      <c r="N11" s="93"/>
    </row>
    <row r="12" spans="1:14" ht="19.5" customHeight="1">
      <c r="A12" s="92">
        <v>3</v>
      </c>
      <c r="B12" s="79" t="s">
        <v>287</v>
      </c>
      <c r="C12" s="79">
        <f t="shared" si="1"/>
        <v>45</v>
      </c>
      <c r="D12" s="79">
        <v>45</v>
      </c>
      <c r="E12" s="79"/>
      <c r="F12" s="79"/>
      <c r="G12" s="79">
        <f t="shared" si="2"/>
        <v>45</v>
      </c>
      <c r="H12" s="79">
        <v>45</v>
      </c>
      <c r="I12" s="79"/>
      <c r="J12" s="79"/>
      <c r="K12" s="93">
        <f t="shared" si="3"/>
        <v>1</v>
      </c>
      <c r="L12" s="93">
        <f t="shared" si="3"/>
        <v>1</v>
      </c>
      <c r="M12" s="93"/>
      <c r="N12" s="93"/>
    </row>
    <row r="13" spans="1:14" ht="19.5" customHeight="1">
      <c r="A13" s="92">
        <v>4</v>
      </c>
      <c r="B13" s="79" t="s">
        <v>288</v>
      </c>
      <c r="C13" s="79">
        <f t="shared" si="1"/>
        <v>95</v>
      </c>
      <c r="D13" s="79">
        <v>95</v>
      </c>
      <c r="E13" s="79"/>
      <c r="F13" s="79"/>
      <c r="G13" s="79">
        <f t="shared" si="2"/>
        <v>50</v>
      </c>
      <c r="H13" s="79">
        <v>50</v>
      </c>
      <c r="I13" s="79"/>
      <c r="J13" s="79"/>
      <c r="K13" s="93">
        <f t="shared" si="3"/>
        <v>0.5263157894736842</v>
      </c>
      <c r="L13" s="93">
        <f t="shared" si="3"/>
        <v>0.5263157894736842</v>
      </c>
      <c r="M13" s="93"/>
      <c r="N13" s="93"/>
    </row>
    <row r="14" spans="1:14" ht="19.5" customHeight="1">
      <c r="A14" s="92">
        <v>5</v>
      </c>
      <c r="B14" s="79" t="s">
        <v>289</v>
      </c>
      <c r="C14" s="79">
        <f t="shared" si="1"/>
        <v>50</v>
      </c>
      <c r="D14" s="79">
        <v>50</v>
      </c>
      <c r="E14" s="79"/>
      <c r="F14" s="79"/>
      <c r="G14" s="79">
        <f t="shared" si="2"/>
        <v>35</v>
      </c>
      <c r="H14" s="79">
        <v>35</v>
      </c>
      <c r="I14" s="79"/>
      <c r="J14" s="79"/>
      <c r="K14" s="93">
        <f t="shared" si="3"/>
        <v>0.7</v>
      </c>
      <c r="L14" s="93">
        <f t="shared" si="3"/>
        <v>0.7</v>
      </c>
      <c r="M14" s="93"/>
      <c r="N14" s="93"/>
    </row>
    <row r="15" spans="1:14" ht="19.5" customHeight="1">
      <c r="A15" s="92">
        <v>6</v>
      </c>
      <c r="B15" s="79" t="s">
        <v>205</v>
      </c>
      <c r="C15" s="79">
        <f t="shared" si="1"/>
        <v>3245</v>
      </c>
      <c r="D15" s="79">
        <v>3245</v>
      </c>
      <c r="E15" s="79"/>
      <c r="F15" s="79"/>
      <c r="G15" s="79">
        <f t="shared" si="2"/>
        <v>3085</v>
      </c>
      <c r="H15" s="79">
        <v>3085</v>
      </c>
      <c r="I15" s="79"/>
      <c r="J15" s="79"/>
      <c r="K15" s="93">
        <f t="shared" si="3"/>
        <v>0.9506933744221879</v>
      </c>
      <c r="L15" s="93">
        <f t="shared" si="3"/>
        <v>0.9506933744221879</v>
      </c>
      <c r="M15" s="93"/>
      <c r="N15" s="93"/>
    </row>
    <row r="16" spans="1:14" ht="19.5" customHeight="1">
      <c r="A16" s="92">
        <v>7</v>
      </c>
      <c r="B16" s="79" t="s">
        <v>290</v>
      </c>
      <c r="C16" s="79">
        <f t="shared" si="1"/>
        <v>90</v>
      </c>
      <c r="D16" s="79">
        <v>90</v>
      </c>
      <c r="E16" s="79"/>
      <c r="F16" s="79"/>
      <c r="G16" s="79">
        <f t="shared" si="2"/>
        <v>65</v>
      </c>
      <c r="H16" s="79">
        <v>65</v>
      </c>
      <c r="I16" s="79"/>
      <c r="J16" s="79"/>
      <c r="K16" s="93">
        <f t="shared" si="3"/>
        <v>0.7222222222222222</v>
      </c>
      <c r="L16" s="93">
        <f t="shared" si="3"/>
        <v>0.7222222222222222</v>
      </c>
      <c r="M16" s="93"/>
      <c r="N16" s="93"/>
    </row>
    <row r="17" spans="1:14" ht="19.5" customHeight="1">
      <c r="A17" s="92">
        <v>8</v>
      </c>
      <c r="B17" s="79" t="s">
        <v>291</v>
      </c>
      <c r="C17" s="79">
        <f t="shared" si="1"/>
        <v>30</v>
      </c>
      <c r="D17" s="79">
        <v>30</v>
      </c>
      <c r="E17" s="79"/>
      <c r="F17" s="79"/>
      <c r="G17" s="79">
        <f t="shared" si="2"/>
        <v>25</v>
      </c>
      <c r="H17" s="79">
        <v>25</v>
      </c>
      <c r="I17" s="79"/>
      <c r="J17" s="79"/>
      <c r="K17" s="93">
        <f t="shared" si="3"/>
        <v>0.8333333333333334</v>
      </c>
      <c r="L17" s="93">
        <f t="shared" si="3"/>
        <v>0.8333333333333334</v>
      </c>
      <c r="M17" s="93"/>
      <c r="N17" s="93"/>
    </row>
    <row r="18" spans="1:14" ht="19.5" customHeight="1">
      <c r="A18" s="92">
        <v>9</v>
      </c>
      <c r="B18" s="79" t="s">
        <v>292</v>
      </c>
      <c r="C18" s="79">
        <f t="shared" si="1"/>
        <v>40</v>
      </c>
      <c r="D18" s="79">
        <v>40</v>
      </c>
      <c r="E18" s="79"/>
      <c r="F18" s="79"/>
      <c r="G18" s="79">
        <f t="shared" si="2"/>
        <v>35</v>
      </c>
      <c r="H18" s="79">
        <v>35</v>
      </c>
      <c r="I18" s="79"/>
      <c r="J18" s="79"/>
      <c r="K18" s="93">
        <f t="shared" si="3"/>
        <v>0.875</v>
      </c>
      <c r="L18" s="93">
        <f t="shared" si="3"/>
        <v>0.875</v>
      </c>
      <c r="M18" s="93"/>
      <c r="N18" s="93"/>
    </row>
    <row r="19" spans="1:14" ht="19.5" customHeight="1">
      <c r="A19" s="92">
        <v>10</v>
      </c>
      <c r="B19" s="79" t="s">
        <v>293</v>
      </c>
      <c r="C19" s="79">
        <f t="shared" si="1"/>
        <v>20</v>
      </c>
      <c r="D19" s="79">
        <v>20</v>
      </c>
      <c r="E19" s="79"/>
      <c r="F19" s="79"/>
      <c r="G19" s="79">
        <f t="shared" si="2"/>
        <v>15</v>
      </c>
      <c r="H19" s="79">
        <v>15</v>
      </c>
      <c r="I19" s="79"/>
      <c r="J19" s="79"/>
      <c r="K19" s="93">
        <f t="shared" si="3"/>
        <v>0.75</v>
      </c>
      <c r="L19" s="93">
        <f t="shared" si="3"/>
        <v>0.75</v>
      </c>
      <c r="M19" s="93"/>
      <c r="N19" s="93"/>
    </row>
    <row r="20" spans="1:14" ht="19.5" customHeight="1">
      <c r="A20" s="92">
        <v>11</v>
      </c>
      <c r="B20" s="79" t="s">
        <v>294</v>
      </c>
      <c r="C20" s="79">
        <f t="shared" si="1"/>
        <v>30</v>
      </c>
      <c r="D20" s="79">
        <v>30</v>
      </c>
      <c r="E20" s="79"/>
      <c r="F20" s="79"/>
      <c r="G20" s="79">
        <f t="shared" si="2"/>
        <v>25</v>
      </c>
      <c r="H20" s="79">
        <v>25</v>
      </c>
      <c r="I20" s="79"/>
      <c r="J20" s="79"/>
      <c r="K20" s="93">
        <f t="shared" si="3"/>
        <v>0.8333333333333334</v>
      </c>
      <c r="L20" s="93">
        <f t="shared" si="3"/>
        <v>0.8333333333333334</v>
      </c>
      <c r="M20" s="93"/>
      <c r="N20" s="93"/>
    </row>
    <row r="21" spans="1:14" ht="19.5" customHeight="1">
      <c r="A21" s="92">
        <v>12</v>
      </c>
      <c r="B21" s="79" t="s">
        <v>295</v>
      </c>
      <c r="C21" s="79">
        <f t="shared" si="1"/>
        <v>17</v>
      </c>
      <c r="D21" s="79">
        <v>17</v>
      </c>
      <c r="E21" s="79"/>
      <c r="F21" s="79"/>
      <c r="G21" s="79">
        <f t="shared" si="2"/>
        <v>17</v>
      </c>
      <c r="H21" s="79">
        <v>17</v>
      </c>
      <c r="I21" s="79"/>
      <c r="J21" s="79"/>
      <c r="K21" s="93">
        <f t="shared" si="3"/>
        <v>1</v>
      </c>
      <c r="L21" s="93">
        <f t="shared" si="3"/>
        <v>1</v>
      </c>
      <c r="M21" s="93"/>
      <c r="N21" s="93"/>
    </row>
    <row r="22" spans="1:14" ht="19.5" customHeight="1">
      <c r="A22" s="92">
        <v>13</v>
      </c>
      <c r="B22" s="79" t="s">
        <v>296</v>
      </c>
      <c r="C22" s="79">
        <f t="shared" si="1"/>
        <v>17</v>
      </c>
      <c r="D22" s="79">
        <v>17</v>
      </c>
      <c r="E22" s="79"/>
      <c r="F22" s="79"/>
      <c r="G22" s="79">
        <f t="shared" si="2"/>
        <v>15</v>
      </c>
      <c r="H22" s="79">
        <v>15</v>
      </c>
      <c r="I22" s="79"/>
      <c r="J22" s="79"/>
      <c r="K22" s="93">
        <f t="shared" si="3"/>
        <v>0.8823529411764706</v>
      </c>
      <c r="L22" s="93">
        <f t="shared" si="3"/>
        <v>0.8823529411764706</v>
      </c>
      <c r="M22" s="93"/>
      <c r="N22" s="93"/>
    </row>
    <row r="23" spans="1:14" ht="19.5" customHeight="1">
      <c r="A23" s="92">
        <v>14</v>
      </c>
      <c r="B23" s="79" t="s">
        <v>297</v>
      </c>
      <c r="C23" s="79">
        <f t="shared" si="1"/>
        <v>20</v>
      </c>
      <c r="D23" s="79">
        <v>20</v>
      </c>
      <c r="E23" s="79"/>
      <c r="F23" s="79"/>
      <c r="G23" s="79">
        <f t="shared" si="2"/>
        <v>20</v>
      </c>
      <c r="H23" s="79">
        <v>20</v>
      </c>
      <c r="I23" s="79"/>
      <c r="J23" s="79"/>
      <c r="K23" s="93">
        <f t="shared" si="3"/>
        <v>1</v>
      </c>
      <c r="L23" s="93">
        <f t="shared" si="3"/>
        <v>1</v>
      </c>
      <c r="M23" s="93"/>
      <c r="N23" s="93"/>
    </row>
    <row r="24" spans="1:14" ht="19.5" customHeight="1">
      <c r="A24" s="92">
        <v>15</v>
      </c>
      <c r="B24" s="79" t="s">
        <v>298</v>
      </c>
      <c r="C24" s="79">
        <f t="shared" si="1"/>
        <v>15</v>
      </c>
      <c r="D24" s="79">
        <v>15</v>
      </c>
      <c r="E24" s="79"/>
      <c r="F24" s="79"/>
      <c r="G24" s="79">
        <f t="shared" si="2"/>
        <v>15</v>
      </c>
      <c r="H24" s="79">
        <v>15</v>
      </c>
      <c r="I24" s="79"/>
      <c r="J24" s="79"/>
      <c r="K24" s="93">
        <f t="shared" si="3"/>
        <v>1</v>
      </c>
      <c r="L24" s="93">
        <f t="shared" si="3"/>
        <v>1</v>
      </c>
      <c r="M24" s="93"/>
      <c r="N24" s="93"/>
    </row>
    <row r="25" spans="1:14" ht="19.5" customHeight="1">
      <c r="A25" s="92">
        <v>16</v>
      </c>
      <c r="B25" s="79" t="s">
        <v>299</v>
      </c>
      <c r="C25" s="79">
        <f t="shared" si="1"/>
        <v>15</v>
      </c>
      <c r="D25" s="79">
        <v>15</v>
      </c>
      <c r="E25" s="79"/>
      <c r="F25" s="79"/>
      <c r="G25" s="79">
        <f t="shared" si="2"/>
        <v>15</v>
      </c>
      <c r="H25" s="79">
        <v>15</v>
      </c>
      <c r="I25" s="79"/>
      <c r="J25" s="79"/>
      <c r="K25" s="93">
        <f t="shared" si="3"/>
        <v>1</v>
      </c>
      <c r="L25" s="93">
        <f t="shared" si="3"/>
        <v>1</v>
      </c>
      <c r="M25" s="93"/>
      <c r="N25" s="93"/>
    </row>
    <row r="26" spans="1:14" ht="19.5" customHeight="1">
      <c r="A26" s="92">
        <v>17</v>
      </c>
      <c r="B26" s="79" t="s">
        <v>300</v>
      </c>
      <c r="C26" s="79">
        <f t="shared" si="1"/>
        <v>23</v>
      </c>
      <c r="D26" s="79">
        <v>23</v>
      </c>
      <c r="E26" s="79"/>
      <c r="F26" s="79"/>
      <c r="G26" s="79">
        <f t="shared" si="2"/>
        <v>20</v>
      </c>
      <c r="H26" s="79">
        <v>20</v>
      </c>
      <c r="I26" s="79"/>
      <c r="J26" s="79"/>
      <c r="K26" s="93">
        <f t="shared" si="3"/>
        <v>0.8695652173913043</v>
      </c>
      <c r="L26" s="93">
        <f t="shared" si="3"/>
        <v>0.8695652173913043</v>
      </c>
      <c r="M26" s="93"/>
      <c r="N26" s="93"/>
    </row>
    <row r="27" spans="1:14" ht="19.5" customHeight="1">
      <c r="A27" s="92">
        <v>18</v>
      </c>
      <c r="B27" s="79" t="s">
        <v>301</v>
      </c>
      <c r="C27" s="79">
        <f t="shared" si="1"/>
        <v>70</v>
      </c>
      <c r="D27" s="79">
        <v>70</v>
      </c>
      <c r="E27" s="79"/>
      <c r="F27" s="79"/>
      <c r="G27" s="79">
        <f t="shared" si="2"/>
        <v>65</v>
      </c>
      <c r="H27" s="79">
        <v>65</v>
      </c>
      <c r="I27" s="79"/>
      <c r="J27" s="79"/>
      <c r="K27" s="93">
        <f t="shared" si="3"/>
        <v>0.9285714285714286</v>
      </c>
      <c r="L27" s="93">
        <f t="shared" si="3"/>
        <v>0.9285714285714286</v>
      </c>
      <c r="M27" s="93"/>
      <c r="N27" s="93"/>
    </row>
    <row r="28" spans="1:14" ht="19.5" customHeight="1" thickBot="1">
      <c r="A28" s="259">
        <v>19</v>
      </c>
      <c r="B28" s="255" t="s">
        <v>302</v>
      </c>
      <c r="C28" s="255">
        <f t="shared" si="1"/>
        <v>25</v>
      </c>
      <c r="D28" s="255">
        <v>25</v>
      </c>
      <c r="E28" s="255"/>
      <c r="F28" s="255"/>
      <c r="G28" s="255">
        <f t="shared" si="2"/>
        <v>20</v>
      </c>
      <c r="H28" s="255">
        <v>20</v>
      </c>
      <c r="I28" s="255"/>
      <c r="J28" s="255"/>
      <c r="K28" s="260">
        <f t="shared" si="3"/>
        <v>0.8</v>
      </c>
      <c r="L28" s="260">
        <f t="shared" si="3"/>
        <v>0.8</v>
      </c>
      <c r="M28" s="260"/>
      <c r="N28" s="260"/>
    </row>
    <row r="29" spans="1:14" ht="15.75" hidden="1">
      <c r="A29" s="256"/>
      <c r="B29" s="257"/>
      <c r="C29" s="256"/>
      <c r="D29" s="256"/>
      <c r="E29" s="256"/>
      <c r="F29" s="256"/>
      <c r="G29" s="256"/>
      <c r="H29" s="256"/>
      <c r="I29" s="256"/>
      <c r="J29" s="256"/>
      <c r="K29" s="256"/>
      <c r="L29" s="256"/>
      <c r="M29" s="256"/>
      <c r="N29" s="258"/>
    </row>
    <row r="30" spans="1:14" s="26" customFormat="1" ht="19.5" customHeight="1" hidden="1">
      <c r="A30" s="422" t="s">
        <v>338</v>
      </c>
      <c r="B30" s="422"/>
      <c r="C30" s="422"/>
      <c r="D30" s="422"/>
      <c r="E30" s="422"/>
      <c r="F30" s="422"/>
      <c r="G30" s="422"/>
      <c r="H30" s="422"/>
      <c r="I30" s="422"/>
      <c r="J30" s="422"/>
      <c r="K30" s="422"/>
      <c r="L30" s="422"/>
      <c r="M30" s="422"/>
      <c r="N30" s="422"/>
    </row>
    <row r="31" spans="1:14" s="26" customFormat="1" ht="19.5" customHeight="1" hidden="1">
      <c r="A31" s="423" t="s">
        <v>242</v>
      </c>
      <c r="B31" s="423"/>
      <c r="C31" s="423"/>
      <c r="D31" s="423"/>
      <c r="E31" s="423"/>
      <c r="F31" s="423"/>
      <c r="G31" s="423"/>
      <c r="H31" s="423"/>
      <c r="I31" s="423"/>
      <c r="J31" s="423"/>
      <c r="K31" s="423"/>
      <c r="L31" s="423"/>
      <c r="M31" s="423"/>
      <c r="N31" s="423"/>
    </row>
    <row r="32" s="26" customFormat="1" ht="15.75" hidden="1"/>
    <row r="33" ht="15" hidden="1"/>
    <row r="34" ht="15" hidden="1"/>
    <row r="35" ht="15.75" thickTop="1"/>
  </sheetData>
  <sheetProtection/>
  <mergeCells count="17">
    <mergeCell ref="A30:N30"/>
    <mergeCell ref="A31:N31"/>
    <mergeCell ref="M4:N4"/>
    <mergeCell ref="E1:J1"/>
    <mergeCell ref="A2:N2"/>
    <mergeCell ref="A3:N3"/>
    <mergeCell ref="L6:N6"/>
    <mergeCell ref="A5:A7"/>
    <mergeCell ref="B5:B7"/>
    <mergeCell ref="C5:F5"/>
    <mergeCell ref="G5:J5"/>
    <mergeCell ref="K5:N5"/>
    <mergeCell ref="C6:C7"/>
    <mergeCell ref="D6:F6"/>
    <mergeCell ref="G6:G7"/>
    <mergeCell ref="H6:J6"/>
    <mergeCell ref="K6:K7"/>
  </mergeCells>
  <printOptions/>
  <pageMargins left="0.55" right="0.1968503937007874" top="0.2755905511811024" bottom="0.35433070866141736" header="0.1968503937007874" footer="0.31496062992125984"/>
  <pageSetup fitToHeight="0"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view="pageBreakPreview" zoomScale="80" zoomScaleSheetLayoutView="80" zoomScalePageLayoutView="0" workbookViewId="0" topLeftCell="A1">
      <selection activeCell="H7" sqref="H7"/>
    </sheetView>
  </sheetViews>
  <sheetFormatPr defaultColWidth="8.796875" defaultRowHeight="15"/>
  <cols>
    <col min="1" max="1" width="5.09765625" style="96" customWidth="1"/>
    <col min="2" max="2" width="15" style="96" customWidth="1"/>
    <col min="3" max="3" width="10.19921875" style="96" customWidth="1"/>
    <col min="4" max="4" width="9.3984375" style="96" customWidth="1"/>
    <col min="5" max="5" width="7.59765625" style="96" customWidth="1"/>
    <col min="6" max="6" width="7" style="96" customWidth="1"/>
    <col min="7" max="7" width="7.5" style="96" customWidth="1"/>
    <col min="8" max="8" width="8.8984375" style="96" customWidth="1"/>
    <col min="9" max="9" width="7.19921875" style="96" customWidth="1"/>
    <col min="10" max="10" width="8.19921875" style="96" customWidth="1"/>
    <col min="11" max="16384" width="9" style="96" customWidth="1"/>
  </cols>
  <sheetData>
    <row r="1" spans="1:10" ht="21" customHeight="1">
      <c r="A1" s="94"/>
      <c r="B1" s="94"/>
      <c r="C1" s="95"/>
      <c r="D1" s="95"/>
      <c r="F1" s="97"/>
      <c r="G1" s="97"/>
      <c r="H1" s="97"/>
      <c r="I1" s="97"/>
      <c r="J1" s="98" t="s">
        <v>187</v>
      </c>
    </row>
    <row r="2" spans="1:10" ht="21" customHeight="1">
      <c r="A2" s="426" t="s">
        <v>59</v>
      </c>
      <c r="B2" s="426"/>
      <c r="C2" s="426"/>
      <c r="D2" s="426"/>
      <c r="E2" s="426"/>
      <c r="F2" s="426"/>
      <c r="G2" s="426"/>
      <c r="H2" s="426"/>
      <c r="I2" s="426"/>
      <c r="J2" s="426"/>
    </row>
    <row r="3" spans="1:10" ht="21" customHeight="1">
      <c r="A3" s="426" t="s">
        <v>360</v>
      </c>
      <c r="B3" s="426"/>
      <c r="C3" s="426"/>
      <c r="D3" s="426"/>
      <c r="E3" s="426"/>
      <c r="F3" s="426"/>
      <c r="G3" s="426"/>
      <c r="H3" s="426"/>
      <c r="I3" s="426"/>
      <c r="J3" s="426"/>
    </row>
    <row r="4" spans="1:10" ht="21" customHeight="1">
      <c r="A4" s="427" t="str">
        <f>PL15!A3</f>
        <v>(Kèm theo Nghị quyết số       /NQ-HĐND ngày          tháng 12 năm 2023 của HĐND huyện Tuần Giáo)</v>
      </c>
      <c r="B4" s="427"/>
      <c r="C4" s="427"/>
      <c r="D4" s="427"/>
      <c r="E4" s="427"/>
      <c r="F4" s="427"/>
      <c r="G4" s="427"/>
      <c r="H4" s="427"/>
      <c r="I4" s="427"/>
      <c r="J4" s="427"/>
    </row>
    <row r="5" spans="1:10" ht="24.75" customHeight="1">
      <c r="A5" s="99"/>
      <c r="B5" s="99"/>
      <c r="C5" s="100"/>
      <c r="D5" s="100"/>
      <c r="E5" s="428" t="s">
        <v>90</v>
      </c>
      <c r="F5" s="428"/>
      <c r="G5" s="428"/>
      <c r="H5" s="428"/>
      <c r="I5" s="428"/>
      <c r="J5" s="428"/>
    </row>
    <row r="6" spans="1:10" s="100" customFormat="1" ht="18.75" customHeight="1">
      <c r="A6" s="429" t="s">
        <v>60</v>
      </c>
      <c r="B6" s="429" t="s">
        <v>31</v>
      </c>
      <c r="C6" s="430" t="s">
        <v>54</v>
      </c>
      <c r="D6" s="430" t="s">
        <v>148</v>
      </c>
      <c r="E6" s="429" t="s">
        <v>47</v>
      </c>
      <c r="F6" s="429"/>
      <c r="G6" s="429"/>
      <c r="H6" s="429"/>
      <c r="I6" s="429"/>
      <c r="J6" s="429"/>
    </row>
    <row r="7" spans="1:10" s="100" customFormat="1" ht="73.5" customHeight="1">
      <c r="A7" s="429"/>
      <c r="B7" s="429"/>
      <c r="C7" s="430"/>
      <c r="D7" s="430"/>
      <c r="E7" s="63" t="s">
        <v>206</v>
      </c>
      <c r="F7" s="63" t="s">
        <v>207</v>
      </c>
      <c r="G7" s="63" t="s">
        <v>208</v>
      </c>
      <c r="H7" s="63" t="s">
        <v>209</v>
      </c>
      <c r="I7" s="63" t="s">
        <v>210</v>
      </c>
      <c r="J7" s="63" t="s">
        <v>211</v>
      </c>
    </row>
    <row r="8" spans="1:10" s="100" customFormat="1" ht="16.5" customHeight="1">
      <c r="A8" s="41" t="s">
        <v>10</v>
      </c>
      <c r="B8" s="41" t="s">
        <v>11</v>
      </c>
      <c r="C8" s="41">
        <v>1</v>
      </c>
      <c r="D8" s="41">
        <f>C8+1</f>
        <v>2</v>
      </c>
      <c r="E8" s="41">
        <v>3</v>
      </c>
      <c r="F8" s="41">
        <f>E8+1</f>
        <v>4</v>
      </c>
      <c r="G8" s="41">
        <f>F8+1</f>
        <v>5</v>
      </c>
      <c r="H8" s="41">
        <f>G8+1</f>
        <v>6</v>
      </c>
      <c r="I8" s="41">
        <f>H8+1</f>
        <v>7</v>
      </c>
      <c r="J8" s="41">
        <f>I8+1</f>
        <v>8</v>
      </c>
    </row>
    <row r="9" spans="1:10" s="100" customFormat="1" ht="27" customHeight="1">
      <c r="A9" s="101"/>
      <c r="B9" s="102" t="s">
        <v>30</v>
      </c>
      <c r="C9" s="103">
        <f>SUM(C10:C28)</f>
        <v>3665</v>
      </c>
      <c r="D9" s="103">
        <f aca="true" t="shared" si="0" ref="D9:J9">SUM(D10:D28)</f>
        <v>3665</v>
      </c>
      <c r="E9" s="103">
        <f t="shared" si="0"/>
        <v>320</v>
      </c>
      <c r="F9" s="103">
        <f t="shared" si="0"/>
        <v>150</v>
      </c>
      <c r="G9" s="103">
        <f t="shared" si="0"/>
        <v>395</v>
      </c>
      <c r="H9" s="103">
        <f t="shared" si="0"/>
        <v>2520</v>
      </c>
      <c r="I9" s="103">
        <f t="shared" si="0"/>
        <v>180</v>
      </c>
      <c r="J9" s="103">
        <f t="shared" si="0"/>
        <v>100</v>
      </c>
    </row>
    <row r="10" spans="1:11" s="100" customFormat="1" ht="22.5" customHeight="1">
      <c r="A10" s="104">
        <v>1</v>
      </c>
      <c r="B10" s="105" t="s">
        <v>285</v>
      </c>
      <c r="C10" s="106">
        <f>D10</f>
        <v>80</v>
      </c>
      <c r="D10" s="106">
        <f>SUM(E10:J10)</f>
        <v>80</v>
      </c>
      <c r="E10" s="106">
        <v>35</v>
      </c>
      <c r="F10" s="106"/>
      <c r="G10" s="106">
        <v>25</v>
      </c>
      <c r="H10" s="106"/>
      <c r="I10" s="106">
        <v>10</v>
      </c>
      <c r="J10" s="106">
        <v>10</v>
      </c>
      <c r="K10" s="107"/>
    </row>
    <row r="11" spans="1:11" s="100" customFormat="1" ht="22.5" customHeight="1">
      <c r="A11" s="104">
        <v>2</v>
      </c>
      <c r="B11" s="105" t="s">
        <v>286</v>
      </c>
      <c r="C11" s="106">
        <f aca="true" t="shared" si="1" ref="C11:C28">D11</f>
        <v>18</v>
      </c>
      <c r="D11" s="106">
        <f aca="true" t="shared" si="2" ref="D11:D28">SUM(E11:J11)</f>
        <v>18</v>
      </c>
      <c r="E11" s="106"/>
      <c r="F11" s="106"/>
      <c r="G11" s="106">
        <v>10</v>
      </c>
      <c r="H11" s="106"/>
      <c r="I11" s="106">
        <v>3</v>
      </c>
      <c r="J11" s="106">
        <v>5</v>
      </c>
      <c r="K11" s="107"/>
    </row>
    <row r="12" spans="1:11" s="100" customFormat="1" ht="22.5" customHeight="1">
      <c r="A12" s="104">
        <v>3</v>
      </c>
      <c r="B12" s="105" t="s">
        <v>287</v>
      </c>
      <c r="C12" s="106">
        <f t="shared" si="1"/>
        <v>45</v>
      </c>
      <c r="D12" s="106">
        <f t="shared" si="2"/>
        <v>45</v>
      </c>
      <c r="E12" s="106">
        <v>10</v>
      </c>
      <c r="F12" s="106"/>
      <c r="G12" s="106">
        <v>15</v>
      </c>
      <c r="H12" s="106"/>
      <c r="I12" s="106">
        <v>5</v>
      </c>
      <c r="J12" s="106">
        <v>15</v>
      </c>
      <c r="K12" s="107"/>
    </row>
    <row r="13" spans="1:11" s="100" customFormat="1" ht="22.5" customHeight="1">
      <c r="A13" s="104">
        <v>4</v>
      </c>
      <c r="B13" s="105" t="s">
        <v>288</v>
      </c>
      <c r="C13" s="106">
        <f t="shared" si="1"/>
        <v>50</v>
      </c>
      <c r="D13" s="106">
        <f t="shared" si="2"/>
        <v>50</v>
      </c>
      <c r="E13" s="106">
        <v>10</v>
      </c>
      <c r="F13" s="106"/>
      <c r="G13" s="106">
        <v>25</v>
      </c>
      <c r="H13" s="106"/>
      <c r="I13" s="106">
        <v>5</v>
      </c>
      <c r="J13" s="106">
        <v>10</v>
      </c>
      <c r="K13" s="107"/>
    </row>
    <row r="14" spans="1:11" s="100" customFormat="1" ht="22.5" customHeight="1">
      <c r="A14" s="104">
        <v>5</v>
      </c>
      <c r="B14" s="105" t="s">
        <v>289</v>
      </c>
      <c r="C14" s="106">
        <f t="shared" si="1"/>
        <v>35</v>
      </c>
      <c r="D14" s="106">
        <f t="shared" si="2"/>
        <v>35</v>
      </c>
      <c r="E14" s="106">
        <v>5</v>
      </c>
      <c r="F14" s="106"/>
      <c r="G14" s="106">
        <v>15</v>
      </c>
      <c r="H14" s="106"/>
      <c r="I14" s="106">
        <v>15</v>
      </c>
      <c r="J14" s="106"/>
      <c r="K14" s="107"/>
    </row>
    <row r="15" spans="1:11" s="100" customFormat="1" ht="22.5" customHeight="1">
      <c r="A15" s="104">
        <v>6</v>
      </c>
      <c r="B15" s="105" t="s">
        <v>205</v>
      </c>
      <c r="C15" s="106">
        <f t="shared" si="1"/>
        <v>3085</v>
      </c>
      <c r="D15" s="106">
        <f t="shared" si="2"/>
        <v>3085</v>
      </c>
      <c r="E15" s="106">
        <v>225</v>
      </c>
      <c r="F15" s="106">
        <v>150</v>
      </c>
      <c r="G15" s="106">
        <v>150</v>
      </c>
      <c r="H15" s="106">
        <v>2520</v>
      </c>
      <c r="I15" s="106">
        <v>30</v>
      </c>
      <c r="J15" s="106">
        <v>10</v>
      </c>
      <c r="K15" s="107"/>
    </row>
    <row r="16" spans="1:11" s="100" customFormat="1" ht="22.5" customHeight="1">
      <c r="A16" s="104">
        <v>7</v>
      </c>
      <c r="B16" s="105" t="s">
        <v>290</v>
      </c>
      <c r="C16" s="106">
        <f t="shared" si="1"/>
        <v>65</v>
      </c>
      <c r="D16" s="106">
        <f t="shared" si="2"/>
        <v>65</v>
      </c>
      <c r="E16" s="106">
        <v>10</v>
      </c>
      <c r="F16" s="106"/>
      <c r="G16" s="106">
        <v>20</v>
      </c>
      <c r="H16" s="106"/>
      <c r="I16" s="106">
        <v>10</v>
      </c>
      <c r="J16" s="106">
        <v>25</v>
      </c>
      <c r="K16" s="107"/>
    </row>
    <row r="17" spans="1:11" s="100" customFormat="1" ht="22.5" customHeight="1">
      <c r="A17" s="104">
        <v>8</v>
      </c>
      <c r="B17" s="105" t="s">
        <v>291</v>
      </c>
      <c r="C17" s="106">
        <f t="shared" si="1"/>
        <v>25</v>
      </c>
      <c r="D17" s="106">
        <f t="shared" si="2"/>
        <v>25</v>
      </c>
      <c r="E17" s="106"/>
      <c r="F17" s="106"/>
      <c r="G17" s="106">
        <v>20</v>
      </c>
      <c r="H17" s="106"/>
      <c r="I17" s="106">
        <v>5</v>
      </c>
      <c r="J17" s="106"/>
      <c r="K17" s="107"/>
    </row>
    <row r="18" spans="1:11" s="100" customFormat="1" ht="22.5" customHeight="1">
      <c r="A18" s="104">
        <v>9</v>
      </c>
      <c r="B18" s="105" t="s">
        <v>292</v>
      </c>
      <c r="C18" s="106">
        <f t="shared" si="1"/>
        <v>35</v>
      </c>
      <c r="D18" s="106">
        <f t="shared" si="2"/>
        <v>35</v>
      </c>
      <c r="E18" s="106">
        <v>10</v>
      </c>
      <c r="F18" s="106"/>
      <c r="G18" s="106">
        <v>15</v>
      </c>
      <c r="H18" s="106"/>
      <c r="I18" s="106">
        <v>10</v>
      </c>
      <c r="J18" s="106"/>
      <c r="K18" s="107"/>
    </row>
    <row r="19" spans="1:11" s="100" customFormat="1" ht="22.5" customHeight="1">
      <c r="A19" s="104">
        <v>10</v>
      </c>
      <c r="B19" s="105" t="s">
        <v>293</v>
      </c>
      <c r="C19" s="106">
        <f t="shared" si="1"/>
        <v>15</v>
      </c>
      <c r="D19" s="106">
        <f t="shared" si="2"/>
        <v>15</v>
      </c>
      <c r="E19" s="106"/>
      <c r="F19" s="106"/>
      <c r="G19" s="106">
        <v>5</v>
      </c>
      <c r="H19" s="106"/>
      <c r="I19" s="106">
        <v>10</v>
      </c>
      <c r="J19" s="106"/>
      <c r="K19" s="107"/>
    </row>
    <row r="20" spans="1:11" s="100" customFormat="1" ht="22.5" customHeight="1">
      <c r="A20" s="104">
        <v>11</v>
      </c>
      <c r="B20" s="105" t="s">
        <v>294</v>
      </c>
      <c r="C20" s="106">
        <f t="shared" si="1"/>
        <v>25</v>
      </c>
      <c r="D20" s="106">
        <f t="shared" si="2"/>
        <v>25</v>
      </c>
      <c r="E20" s="106"/>
      <c r="F20" s="106"/>
      <c r="G20" s="106">
        <v>15</v>
      </c>
      <c r="H20" s="106"/>
      <c r="I20" s="106">
        <v>10</v>
      </c>
      <c r="J20" s="106"/>
      <c r="K20" s="107"/>
    </row>
    <row r="21" spans="1:11" s="100" customFormat="1" ht="22.5" customHeight="1">
      <c r="A21" s="104">
        <v>12</v>
      </c>
      <c r="B21" s="105" t="s">
        <v>295</v>
      </c>
      <c r="C21" s="106">
        <f t="shared" si="1"/>
        <v>17</v>
      </c>
      <c r="D21" s="106">
        <f t="shared" si="2"/>
        <v>17</v>
      </c>
      <c r="E21" s="106"/>
      <c r="F21" s="106"/>
      <c r="G21" s="106">
        <v>10</v>
      </c>
      <c r="H21" s="106"/>
      <c r="I21" s="106">
        <v>2</v>
      </c>
      <c r="J21" s="106">
        <v>5</v>
      </c>
      <c r="K21" s="107"/>
    </row>
    <row r="22" spans="1:11" s="100" customFormat="1" ht="22.5" customHeight="1">
      <c r="A22" s="104">
        <v>13</v>
      </c>
      <c r="B22" s="105" t="s">
        <v>296</v>
      </c>
      <c r="C22" s="106">
        <f t="shared" si="1"/>
        <v>15</v>
      </c>
      <c r="D22" s="106">
        <f t="shared" si="2"/>
        <v>15</v>
      </c>
      <c r="E22" s="106"/>
      <c r="F22" s="106"/>
      <c r="G22" s="106">
        <v>10</v>
      </c>
      <c r="H22" s="106"/>
      <c r="I22" s="106">
        <v>5</v>
      </c>
      <c r="J22" s="106"/>
      <c r="K22" s="107"/>
    </row>
    <row r="23" spans="1:11" s="100" customFormat="1" ht="22.5" customHeight="1">
      <c r="A23" s="104">
        <v>14</v>
      </c>
      <c r="B23" s="105" t="s">
        <v>297</v>
      </c>
      <c r="C23" s="106">
        <f t="shared" si="1"/>
        <v>20</v>
      </c>
      <c r="D23" s="106">
        <f t="shared" si="2"/>
        <v>20</v>
      </c>
      <c r="E23" s="106"/>
      <c r="F23" s="106"/>
      <c r="G23" s="106">
        <v>10</v>
      </c>
      <c r="H23" s="106"/>
      <c r="I23" s="106">
        <v>10</v>
      </c>
      <c r="J23" s="106"/>
      <c r="K23" s="107"/>
    </row>
    <row r="24" spans="1:11" s="100" customFormat="1" ht="22.5" customHeight="1">
      <c r="A24" s="104">
        <v>15</v>
      </c>
      <c r="B24" s="105" t="s">
        <v>298</v>
      </c>
      <c r="C24" s="106">
        <f t="shared" si="1"/>
        <v>15</v>
      </c>
      <c r="D24" s="106">
        <f t="shared" si="2"/>
        <v>15</v>
      </c>
      <c r="E24" s="106"/>
      <c r="F24" s="106"/>
      <c r="G24" s="106">
        <v>5</v>
      </c>
      <c r="H24" s="106"/>
      <c r="I24" s="106">
        <v>10</v>
      </c>
      <c r="J24" s="106"/>
      <c r="K24" s="107"/>
    </row>
    <row r="25" spans="1:11" s="100" customFormat="1" ht="22.5" customHeight="1">
      <c r="A25" s="104">
        <v>16</v>
      </c>
      <c r="B25" s="105" t="s">
        <v>299</v>
      </c>
      <c r="C25" s="106">
        <f t="shared" si="1"/>
        <v>15</v>
      </c>
      <c r="D25" s="106">
        <f t="shared" si="2"/>
        <v>15</v>
      </c>
      <c r="E25" s="106"/>
      <c r="F25" s="106"/>
      <c r="G25" s="106">
        <v>5</v>
      </c>
      <c r="H25" s="106"/>
      <c r="I25" s="106">
        <v>10</v>
      </c>
      <c r="J25" s="106"/>
      <c r="K25" s="107"/>
    </row>
    <row r="26" spans="1:11" s="100" customFormat="1" ht="22.5" customHeight="1">
      <c r="A26" s="104">
        <v>17</v>
      </c>
      <c r="B26" s="105" t="s">
        <v>300</v>
      </c>
      <c r="C26" s="106">
        <f t="shared" si="1"/>
        <v>20</v>
      </c>
      <c r="D26" s="106">
        <f t="shared" si="2"/>
        <v>20</v>
      </c>
      <c r="E26" s="106"/>
      <c r="F26" s="106"/>
      <c r="G26" s="106">
        <v>10</v>
      </c>
      <c r="H26" s="106"/>
      <c r="I26" s="106">
        <v>10</v>
      </c>
      <c r="J26" s="106"/>
      <c r="K26" s="107"/>
    </row>
    <row r="27" spans="1:11" s="100" customFormat="1" ht="22.5" customHeight="1">
      <c r="A27" s="104">
        <v>18</v>
      </c>
      <c r="B27" s="105" t="s">
        <v>301</v>
      </c>
      <c r="C27" s="106">
        <f t="shared" si="1"/>
        <v>65</v>
      </c>
      <c r="D27" s="106">
        <f t="shared" si="2"/>
        <v>65</v>
      </c>
      <c r="E27" s="106">
        <v>15</v>
      </c>
      <c r="F27" s="106"/>
      <c r="G27" s="106">
        <v>20</v>
      </c>
      <c r="H27" s="106"/>
      <c r="I27" s="106">
        <v>10</v>
      </c>
      <c r="J27" s="106">
        <v>20</v>
      </c>
      <c r="K27" s="107"/>
    </row>
    <row r="28" spans="1:11" s="100" customFormat="1" ht="22.5" customHeight="1" thickBot="1">
      <c r="A28" s="261">
        <v>19</v>
      </c>
      <c r="B28" s="262" t="s">
        <v>302</v>
      </c>
      <c r="C28" s="263">
        <f t="shared" si="1"/>
        <v>20</v>
      </c>
      <c r="D28" s="263">
        <f t="shared" si="2"/>
        <v>20</v>
      </c>
      <c r="E28" s="263"/>
      <c r="F28" s="263"/>
      <c r="G28" s="263">
        <v>10</v>
      </c>
      <c r="H28" s="263"/>
      <c r="I28" s="263">
        <v>10</v>
      </c>
      <c r="J28" s="263"/>
      <c r="K28" s="107"/>
    </row>
    <row r="29" spans="1:10" ht="19.5" thickTop="1">
      <c r="A29" s="100"/>
      <c r="B29" s="100"/>
      <c r="C29" s="100"/>
      <c r="D29" s="100"/>
      <c r="E29" s="100"/>
      <c r="F29" s="100"/>
      <c r="G29" s="100"/>
      <c r="H29" s="100"/>
      <c r="I29" s="100"/>
      <c r="J29" s="100"/>
    </row>
    <row r="30" spans="1:10" ht="18.75">
      <c r="A30" s="100"/>
      <c r="B30" s="100"/>
      <c r="C30" s="100"/>
      <c r="D30" s="100"/>
      <c r="E30" s="100"/>
      <c r="F30" s="100"/>
      <c r="G30" s="100"/>
      <c r="H30" s="100"/>
      <c r="I30" s="100"/>
      <c r="J30" s="100"/>
    </row>
    <row r="31" spans="1:10" ht="18.75">
      <c r="A31" s="100"/>
      <c r="B31" s="100"/>
      <c r="C31" s="100"/>
      <c r="D31" s="100"/>
      <c r="E31" s="100"/>
      <c r="F31" s="100"/>
      <c r="G31" s="100"/>
      <c r="H31" s="100"/>
      <c r="I31" s="100"/>
      <c r="J31" s="100"/>
    </row>
    <row r="32" spans="1:10" ht="18.75">
      <c r="A32" s="100"/>
      <c r="B32" s="100"/>
      <c r="C32" s="100"/>
      <c r="D32" s="100"/>
      <c r="E32" s="100"/>
      <c r="F32" s="100"/>
      <c r="G32" s="100"/>
      <c r="H32" s="100"/>
      <c r="I32" s="100"/>
      <c r="J32" s="100"/>
    </row>
    <row r="33" spans="1:10" ht="18.75">
      <c r="A33" s="100"/>
      <c r="B33" s="100"/>
      <c r="C33" s="100"/>
      <c r="D33" s="100"/>
      <c r="E33" s="100"/>
      <c r="F33" s="100"/>
      <c r="G33" s="100"/>
      <c r="H33" s="100"/>
      <c r="I33" s="100"/>
      <c r="J33" s="100"/>
    </row>
    <row r="34" spans="1:10" ht="18.75">
      <c r="A34" s="100"/>
      <c r="B34" s="100"/>
      <c r="C34" s="100"/>
      <c r="D34" s="100"/>
      <c r="E34" s="100"/>
      <c r="F34" s="100"/>
      <c r="G34" s="100"/>
      <c r="H34" s="100"/>
      <c r="I34" s="100"/>
      <c r="J34" s="100"/>
    </row>
    <row r="35" spans="1:10" ht="18.75">
      <c r="A35" s="100"/>
      <c r="B35" s="100"/>
      <c r="C35" s="100"/>
      <c r="D35" s="100"/>
      <c r="E35" s="100"/>
      <c r="F35" s="100"/>
      <c r="G35" s="100"/>
      <c r="H35" s="100"/>
      <c r="I35" s="100"/>
      <c r="J35" s="100"/>
    </row>
    <row r="36" spans="1:10" ht="18.75">
      <c r="A36" s="100"/>
      <c r="B36" s="100"/>
      <c r="C36" s="100"/>
      <c r="D36" s="100"/>
      <c r="E36" s="100"/>
      <c r="F36" s="100"/>
      <c r="G36" s="100"/>
      <c r="H36" s="100"/>
      <c r="I36" s="100"/>
      <c r="J36" s="100"/>
    </row>
    <row r="37" spans="1:10" ht="22.5" customHeight="1">
      <c r="A37" s="100"/>
      <c r="B37" s="100"/>
      <c r="C37" s="100"/>
      <c r="D37" s="100"/>
      <c r="E37" s="100"/>
      <c r="F37" s="100"/>
      <c r="G37" s="100"/>
      <c r="H37" s="100"/>
      <c r="I37" s="100"/>
      <c r="J37" s="100"/>
    </row>
    <row r="38" spans="1:10" ht="18.75">
      <c r="A38" s="100"/>
      <c r="B38" s="100"/>
      <c r="C38" s="100"/>
      <c r="D38" s="100"/>
      <c r="E38" s="100"/>
      <c r="F38" s="100"/>
      <c r="G38" s="100"/>
      <c r="H38" s="100"/>
      <c r="I38" s="100"/>
      <c r="J38" s="100"/>
    </row>
    <row r="39" spans="1:10" ht="18.75">
      <c r="A39" s="100"/>
      <c r="B39" s="100"/>
      <c r="C39" s="100"/>
      <c r="D39" s="100"/>
      <c r="E39" s="100"/>
      <c r="F39" s="100"/>
      <c r="G39" s="100"/>
      <c r="H39" s="100"/>
      <c r="I39" s="100"/>
      <c r="J39" s="100"/>
    </row>
    <row r="40" spans="1:10" ht="18.75">
      <c r="A40" s="100"/>
      <c r="B40" s="100"/>
      <c r="C40" s="100"/>
      <c r="D40" s="100"/>
      <c r="E40" s="100"/>
      <c r="F40" s="100"/>
      <c r="G40" s="100"/>
      <c r="H40" s="100"/>
      <c r="I40" s="100"/>
      <c r="J40" s="100"/>
    </row>
    <row r="41" spans="1:10" ht="18.75">
      <c r="A41" s="100"/>
      <c r="B41" s="100"/>
      <c r="C41" s="100"/>
      <c r="D41" s="100"/>
      <c r="E41" s="100"/>
      <c r="F41" s="100"/>
      <c r="G41" s="100"/>
      <c r="H41" s="100"/>
      <c r="I41" s="100"/>
      <c r="J41" s="100"/>
    </row>
  </sheetData>
  <sheetProtection/>
  <mergeCells count="9">
    <mergeCell ref="A2:J2"/>
    <mergeCell ref="A3:J3"/>
    <mergeCell ref="A4:J4"/>
    <mergeCell ref="E5:J5"/>
    <mergeCell ref="A6:A7"/>
    <mergeCell ref="B6:B7"/>
    <mergeCell ref="C6:C7"/>
    <mergeCell ref="D6:D7"/>
    <mergeCell ref="E6:J6"/>
  </mergeCells>
  <printOptions/>
  <pageMargins left="0.7" right="0.23"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F53"/>
  <sheetViews>
    <sheetView view="pageBreakPreview" zoomScale="90" zoomScaleSheetLayoutView="9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46" sqref="B46"/>
    </sheetView>
  </sheetViews>
  <sheetFormatPr defaultColWidth="8.796875" defaultRowHeight="15"/>
  <cols>
    <col min="1" max="1" width="5.5" style="217" customWidth="1"/>
    <col min="2" max="2" width="53.19921875" style="217" customWidth="1"/>
    <col min="3" max="3" width="9.5" style="217" customWidth="1"/>
    <col min="4" max="4" width="11.3984375" style="217" customWidth="1"/>
    <col min="5" max="5" width="9.3984375" style="217" customWidth="1"/>
    <col min="6" max="16384" width="9" style="217" customWidth="1"/>
  </cols>
  <sheetData>
    <row r="1" spans="1:5" ht="18" customHeight="1">
      <c r="A1" s="197"/>
      <c r="B1" s="197"/>
      <c r="C1" s="433" t="s">
        <v>186</v>
      </c>
      <c r="D1" s="433"/>
      <c r="E1" s="433"/>
    </row>
    <row r="2" spans="1:5" s="238" customFormat="1" ht="22.5" customHeight="1">
      <c r="A2" s="236" t="s">
        <v>149</v>
      </c>
      <c r="B2" s="236"/>
      <c r="C2" s="237"/>
      <c r="D2" s="237"/>
      <c r="E2" s="237"/>
    </row>
    <row r="3" spans="1:5" s="238" customFormat="1" ht="18" customHeight="1">
      <c r="A3" s="434" t="s">
        <v>358</v>
      </c>
      <c r="B3" s="434"/>
      <c r="C3" s="434"/>
      <c r="D3" s="434"/>
      <c r="E3" s="434"/>
    </row>
    <row r="4" spans="1:5" ht="18" customHeight="1">
      <c r="A4" s="411" t="str">
        <f>PL15!A3</f>
        <v>(Kèm theo Nghị quyết số       /NQ-HĐND ngày          tháng 12 năm 2023 của HĐND huyện Tuần Giáo)</v>
      </c>
      <c r="B4" s="411"/>
      <c r="C4" s="411"/>
      <c r="D4" s="411"/>
      <c r="E4" s="411"/>
    </row>
    <row r="5" spans="1:5" ht="19.5" customHeight="1">
      <c r="A5" s="202"/>
      <c r="B5" s="202"/>
      <c r="C5" s="203"/>
      <c r="D5" s="435" t="s">
        <v>90</v>
      </c>
      <c r="E5" s="435"/>
    </row>
    <row r="6" spans="1:6" s="238" customFormat="1" ht="18" customHeight="1">
      <c r="A6" s="431" t="s">
        <v>60</v>
      </c>
      <c r="B6" s="431" t="s">
        <v>6</v>
      </c>
      <c r="C6" s="431" t="s">
        <v>231</v>
      </c>
      <c r="D6" s="436" t="s">
        <v>47</v>
      </c>
      <c r="E6" s="436"/>
      <c r="F6" s="217"/>
    </row>
    <row r="7" spans="1:6" s="238" customFormat="1" ht="35.25" customHeight="1">
      <c r="A7" s="432"/>
      <c r="B7" s="432"/>
      <c r="C7" s="432"/>
      <c r="D7" s="239" t="s">
        <v>152</v>
      </c>
      <c r="E7" s="239" t="s">
        <v>153</v>
      </c>
      <c r="F7" s="217"/>
    </row>
    <row r="8" spans="1:5" s="234" customFormat="1" ht="14.25" customHeight="1">
      <c r="A8" s="204" t="s">
        <v>10</v>
      </c>
      <c r="B8" s="204" t="s">
        <v>11</v>
      </c>
      <c r="C8" s="204" t="s">
        <v>48</v>
      </c>
      <c r="D8" s="204">
        <v>2</v>
      </c>
      <c r="E8" s="204">
        <f>D8+1</f>
        <v>3</v>
      </c>
    </row>
    <row r="9" spans="1:5" s="240" customFormat="1" ht="18.75" customHeight="1">
      <c r="A9" s="219"/>
      <c r="B9" s="220" t="s">
        <v>125</v>
      </c>
      <c r="C9" s="221">
        <f>C10+C39+C53</f>
        <v>1102382</v>
      </c>
      <c r="D9" s="221">
        <f>D10+D39+D53</f>
        <v>955607</v>
      </c>
      <c r="E9" s="221">
        <f>E10+E39+E53</f>
        <v>146775</v>
      </c>
    </row>
    <row r="10" spans="1:5" s="240" customFormat="1" ht="18.75" customHeight="1">
      <c r="A10" s="219" t="s">
        <v>10</v>
      </c>
      <c r="B10" s="220" t="s">
        <v>106</v>
      </c>
      <c r="C10" s="221">
        <f>C11+C22+C37+C38</f>
        <v>829482</v>
      </c>
      <c r="D10" s="221">
        <f>D11+D22+D37+D38</f>
        <v>716892</v>
      </c>
      <c r="E10" s="221">
        <f>E11+E22+E37+E38</f>
        <v>112590</v>
      </c>
    </row>
    <row r="11" spans="1:5" s="240" customFormat="1" ht="18.75" customHeight="1">
      <c r="A11" s="219" t="s">
        <v>20</v>
      </c>
      <c r="B11" s="220" t="s">
        <v>43</v>
      </c>
      <c r="C11" s="241">
        <f>D11+E11</f>
        <v>36645</v>
      </c>
      <c r="D11" s="241">
        <f>D12+D21</f>
        <v>34125</v>
      </c>
      <c r="E11" s="241">
        <f>E12+E21</f>
        <v>2520</v>
      </c>
    </row>
    <row r="12" spans="1:5" s="242" customFormat="1" ht="18.75" customHeight="1">
      <c r="A12" s="224">
        <v>1</v>
      </c>
      <c r="B12" s="225" t="s">
        <v>74</v>
      </c>
      <c r="C12" s="226">
        <f>C13</f>
        <v>36645</v>
      </c>
      <c r="D12" s="226">
        <f>D13</f>
        <v>34125</v>
      </c>
      <c r="E12" s="226">
        <f>E13</f>
        <v>2520</v>
      </c>
    </row>
    <row r="13" spans="1:5" s="240" customFormat="1" ht="18.75" customHeight="1">
      <c r="A13" s="224"/>
      <c r="B13" s="283" t="s">
        <v>140</v>
      </c>
      <c r="C13" s="226">
        <f>SUM(C14:C17)</f>
        <v>36645</v>
      </c>
      <c r="D13" s="226">
        <f>SUM(D14:D17)</f>
        <v>34125</v>
      </c>
      <c r="E13" s="226">
        <f>SUM(E14:E17)</f>
        <v>2520</v>
      </c>
    </row>
    <row r="14" spans="1:5" s="240" customFormat="1" ht="18.75" customHeight="1">
      <c r="A14" s="228" t="s">
        <v>17</v>
      </c>
      <c r="B14" s="225" t="s">
        <v>312</v>
      </c>
      <c r="C14" s="226">
        <f>D14+E14</f>
        <v>2966</v>
      </c>
      <c r="D14" s="226">
        <v>2966</v>
      </c>
      <c r="E14" s="226"/>
    </row>
    <row r="15" spans="1:5" s="240" customFormat="1" ht="21" customHeight="1">
      <c r="A15" s="228" t="s">
        <v>17</v>
      </c>
      <c r="B15" s="225" t="s">
        <v>38</v>
      </c>
      <c r="C15" s="226">
        <f>D15+E15</f>
        <v>1600</v>
      </c>
      <c r="D15" s="226">
        <v>1600</v>
      </c>
      <c r="E15" s="226"/>
    </row>
    <row r="16" spans="1:5" s="240" customFormat="1" ht="18" customHeight="1">
      <c r="A16" s="228" t="s">
        <v>17</v>
      </c>
      <c r="B16" s="225" t="s">
        <v>115</v>
      </c>
      <c r="C16" s="226">
        <f>D16+E16</f>
        <v>32079</v>
      </c>
      <c r="D16" s="226">
        <v>29559</v>
      </c>
      <c r="E16" s="226">
        <v>2520</v>
      </c>
    </row>
    <row r="17" spans="1:5" s="242" customFormat="1" ht="21" customHeight="1" hidden="1">
      <c r="A17" s="224" t="s">
        <v>17</v>
      </c>
      <c r="B17" s="243" t="s">
        <v>313</v>
      </c>
      <c r="C17" s="244">
        <f>D17+E17</f>
        <v>0</v>
      </c>
      <c r="D17" s="244"/>
      <c r="E17" s="244"/>
    </row>
    <row r="18" spans="1:5" s="240" customFormat="1" ht="18.75" customHeight="1">
      <c r="A18" s="224"/>
      <c r="B18" s="283" t="s">
        <v>141</v>
      </c>
      <c r="C18" s="226">
        <f>C19+C20</f>
        <v>36645</v>
      </c>
      <c r="D18" s="226">
        <f>D19+D20</f>
        <v>34125</v>
      </c>
      <c r="E18" s="226">
        <f>E19+E20</f>
        <v>2520</v>
      </c>
    </row>
    <row r="19" spans="1:5" s="240" customFormat="1" ht="18.75" customHeight="1">
      <c r="A19" s="228" t="s">
        <v>17</v>
      </c>
      <c r="B19" s="225" t="s">
        <v>314</v>
      </c>
      <c r="C19" s="226">
        <f>D19+E19</f>
        <v>24045</v>
      </c>
      <c r="D19" s="226">
        <v>24045</v>
      </c>
      <c r="E19" s="226"/>
    </row>
    <row r="20" spans="1:5" s="240" customFormat="1" ht="18.75" customHeight="1">
      <c r="A20" s="228" t="s">
        <v>17</v>
      </c>
      <c r="B20" s="225" t="s">
        <v>315</v>
      </c>
      <c r="C20" s="226">
        <f>D20+E20</f>
        <v>12600</v>
      </c>
      <c r="D20" s="226">
        <v>10080</v>
      </c>
      <c r="E20" s="226">
        <v>2520</v>
      </c>
    </row>
    <row r="21" spans="1:5" s="240" customFormat="1" ht="21" customHeight="1" hidden="1">
      <c r="A21" s="224">
        <v>2</v>
      </c>
      <c r="B21" s="225" t="s">
        <v>139</v>
      </c>
      <c r="C21" s="244"/>
      <c r="D21" s="226"/>
      <c r="E21" s="226"/>
    </row>
    <row r="22" spans="1:6" s="240" customFormat="1" ht="19.5" customHeight="1">
      <c r="A22" s="219" t="s">
        <v>21</v>
      </c>
      <c r="B22" s="220" t="s">
        <v>26</v>
      </c>
      <c r="C22" s="221">
        <f>SUM(C23:C36)</f>
        <v>776247</v>
      </c>
      <c r="D22" s="221">
        <f>SUM(D23:D36)</f>
        <v>668432</v>
      </c>
      <c r="E22" s="221">
        <f>SUM(E23:E36)</f>
        <v>107815</v>
      </c>
      <c r="F22" s="245"/>
    </row>
    <row r="23" spans="1:5" s="240" customFormat="1" ht="19.5" customHeight="1">
      <c r="A23" s="224">
        <v>1</v>
      </c>
      <c r="B23" s="225" t="s">
        <v>35</v>
      </c>
      <c r="C23" s="226">
        <f>D23+E23</f>
        <v>8917</v>
      </c>
      <c r="D23" s="226">
        <v>3300</v>
      </c>
      <c r="E23" s="226">
        <v>5617</v>
      </c>
    </row>
    <row r="24" spans="1:5" ht="19.5" customHeight="1">
      <c r="A24" s="224">
        <v>2</v>
      </c>
      <c r="B24" s="225" t="s">
        <v>36</v>
      </c>
      <c r="C24" s="226">
        <f>D24+E24</f>
        <v>1800</v>
      </c>
      <c r="D24" s="226">
        <v>1800</v>
      </c>
      <c r="E24" s="226"/>
    </row>
    <row r="25" spans="1:5" s="240" customFormat="1" ht="19.5" customHeight="1">
      <c r="A25" s="224">
        <v>3</v>
      </c>
      <c r="B25" s="225" t="s">
        <v>229</v>
      </c>
      <c r="C25" s="226">
        <f>D25+E25</f>
        <v>503152</v>
      </c>
      <c r="D25" s="226">
        <v>498815</v>
      </c>
      <c r="E25" s="226">
        <v>4337</v>
      </c>
    </row>
    <row r="26" spans="1:5" s="240" customFormat="1" ht="19.5" customHeight="1">
      <c r="A26" s="224">
        <v>4</v>
      </c>
      <c r="B26" s="225" t="s">
        <v>34</v>
      </c>
      <c r="C26" s="226">
        <f aca="true" t="shared" si="0" ref="C26:C38">D26+E26</f>
        <v>1688</v>
      </c>
      <c r="D26" s="226">
        <v>415</v>
      </c>
      <c r="E26" s="226">
        <v>1273</v>
      </c>
    </row>
    <row r="27" spans="1:5" s="240" customFormat="1" ht="19.5" customHeight="1">
      <c r="A27" s="224">
        <v>5</v>
      </c>
      <c r="B27" s="225" t="s">
        <v>37</v>
      </c>
      <c r="C27" s="226">
        <f t="shared" si="0"/>
        <v>315</v>
      </c>
      <c r="D27" s="226">
        <v>315</v>
      </c>
      <c r="E27" s="226"/>
    </row>
    <row r="28" spans="1:5" s="240" customFormat="1" ht="19.5" customHeight="1">
      <c r="A28" s="224">
        <v>6</v>
      </c>
      <c r="B28" s="225" t="s">
        <v>38</v>
      </c>
      <c r="C28" s="226">
        <f t="shared" si="0"/>
        <v>1831</v>
      </c>
      <c r="D28" s="226">
        <v>1831</v>
      </c>
      <c r="E28" s="226"/>
    </row>
    <row r="29" spans="1:5" s="240" customFormat="1" ht="19.5" customHeight="1">
      <c r="A29" s="224">
        <v>7</v>
      </c>
      <c r="B29" s="225" t="s">
        <v>39</v>
      </c>
      <c r="C29" s="226">
        <f t="shared" si="0"/>
        <v>5217</v>
      </c>
      <c r="D29" s="226">
        <v>2992</v>
      </c>
      <c r="E29" s="226">
        <v>2225</v>
      </c>
    </row>
    <row r="30" spans="1:5" s="240" customFormat="1" ht="19.5" customHeight="1">
      <c r="A30" s="224">
        <v>8</v>
      </c>
      <c r="B30" s="225" t="s">
        <v>40</v>
      </c>
      <c r="C30" s="226">
        <f t="shared" si="0"/>
        <v>900</v>
      </c>
      <c r="D30" s="226">
        <v>615</v>
      </c>
      <c r="E30" s="226">
        <v>285</v>
      </c>
    </row>
    <row r="31" spans="1:5" ht="19.5" customHeight="1">
      <c r="A31" s="224">
        <v>9</v>
      </c>
      <c r="B31" s="225" t="s">
        <v>41</v>
      </c>
      <c r="C31" s="226">
        <f t="shared" si="0"/>
        <v>7000</v>
      </c>
      <c r="D31" s="226">
        <v>7000</v>
      </c>
      <c r="E31" s="226"/>
    </row>
    <row r="32" spans="1:5" ht="19.5" customHeight="1">
      <c r="A32" s="224">
        <v>10</v>
      </c>
      <c r="B32" s="225" t="s">
        <v>216</v>
      </c>
      <c r="C32" s="226">
        <f t="shared" si="0"/>
        <v>48183</v>
      </c>
      <c r="D32" s="511">
        <f>47633+550</f>
        <v>48183</v>
      </c>
      <c r="E32" s="282"/>
    </row>
    <row r="33" spans="1:5" ht="19.5" customHeight="1">
      <c r="A33" s="224">
        <v>11</v>
      </c>
      <c r="B33" s="225" t="s">
        <v>316</v>
      </c>
      <c r="C33" s="226">
        <f t="shared" si="0"/>
        <v>51416</v>
      </c>
      <c r="D33" s="511">
        <f>42014+3410</f>
        <v>45424</v>
      </c>
      <c r="E33" s="226">
        <v>5992</v>
      </c>
    </row>
    <row r="34" spans="1:5" ht="19.5" customHeight="1">
      <c r="A34" s="224">
        <v>12</v>
      </c>
      <c r="B34" s="225" t="s">
        <v>27</v>
      </c>
      <c r="C34" s="226">
        <f t="shared" si="0"/>
        <v>141540</v>
      </c>
      <c r="D34" s="226">
        <v>55332</v>
      </c>
      <c r="E34" s="226">
        <v>86208</v>
      </c>
    </row>
    <row r="35" spans="1:5" ht="19.5" customHeight="1">
      <c r="A35" s="224">
        <v>13</v>
      </c>
      <c r="B35" s="225" t="s">
        <v>42</v>
      </c>
      <c r="C35" s="226">
        <f t="shared" si="0"/>
        <v>4288</v>
      </c>
      <c r="D35" s="511">
        <f>3000-550-40</f>
        <v>2410</v>
      </c>
      <c r="E35" s="226">
        <v>1878</v>
      </c>
    </row>
    <row r="36" spans="1:5" ht="19.5" customHeight="1" hidden="1">
      <c r="A36" s="224">
        <v>14</v>
      </c>
      <c r="B36" s="225" t="s">
        <v>317</v>
      </c>
      <c r="C36" s="226">
        <f t="shared" si="0"/>
        <v>0</v>
      </c>
      <c r="D36" s="227"/>
      <c r="E36" s="226"/>
    </row>
    <row r="37" spans="1:5" ht="19.5" customHeight="1">
      <c r="A37" s="219" t="s">
        <v>22</v>
      </c>
      <c r="B37" s="220" t="s">
        <v>29</v>
      </c>
      <c r="C37" s="221">
        <f t="shared" si="0"/>
        <v>16590</v>
      </c>
      <c r="D37" s="513">
        <f>14225+70+40</f>
        <v>14335</v>
      </c>
      <c r="E37" s="221">
        <v>2255</v>
      </c>
    </row>
    <row r="38" spans="1:5" ht="21" customHeight="1" hidden="1">
      <c r="A38" s="219" t="s">
        <v>23</v>
      </c>
      <c r="B38" s="220" t="s">
        <v>75</v>
      </c>
      <c r="C38" s="221">
        <f t="shared" si="0"/>
        <v>0</v>
      </c>
      <c r="D38" s="221"/>
      <c r="E38" s="221"/>
    </row>
    <row r="39" spans="1:5" ht="20.25" customHeight="1">
      <c r="A39" s="219" t="s">
        <v>11</v>
      </c>
      <c r="B39" s="229" t="s">
        <v>107</v>
      </c>
      <c r="C39" s="221">
        <f>C40+C50</f>
        <v>272900</v>
      </c>
      <c r="D39" s="221">
        <f>D40+D50</f>
        <v>238715</v>
      </c>
      <c r="E39" s="221">
        <f>E40+E50</f>
        <v>34185</v>
      </c>
    </row>
    <row r="40" spans="1:5" ht="15.75">
      <c r="A40" s="219" t="s">
        <v>20</v>
      </c>
      <c r="B40" s="220" t="s">
        <v>104</v>
      </c>
      <c r="C40" s="221">
        <f>+C41+C44+C47</f>
        <v>271066</v>
      </c>
      <c r="D40" s="221">
        <f>+D41+D44+D47</f>
        <v>238531</v>
      </c>
      <c r="E40" s="221">
        <f>+E41+E44+E47</f>
        <v>32535</v>
      </c>
    </row>
    <row r="41" spans="1:5" ht="31.5">
      <c r="A41" s="224">
        <v>1</v>
      </c>
      <c r="B41" s="246" t="s">
        <v>306</v>
      </c>
      <c r="C41" s="226">
        <f>SUM(C42:C43)</f>
        <v>210014</v>
      </c>
      <c r="D41" s="226">
        <f>SUM(D42:D43)</f>
        <v>198937</v>
      </c>
      <c r="E41" s="226">
        <f>SUM(E42:E43)</f>
        <v>11077</v>
      </c>
    </row>
    <row r="42" spans="1:5" ht="15.75">
      <c r="A42" s="224"/>
      <c r="B42" s="247" t="s">
        <v>323</v>
      </c>
      <c r="C42" s="226">
        <f aca="true" t="shared" si="1" ref="C42:C49">D42+E42</f>
        <v>110034</v>
      </c>
      <c r="D42" s="511">
        <v>110034</v>
      </c>
      <c r="E42" s="226"/>
    </row>
    <row r="43" spans="1:5" ht="15.75">
      <c r="A43" s="224"/>
      <c r="B43" s="247" t="s">
        <v>324</v>
      </c>
      <c r="C43" s="226">
        <f t="shared" si="1"/>
        <v>99980</v>
      </c>
      <c r="D43" s="226">
        <v>88903</v>
      </c>
      <c r="E43" s="226">
        <v>11077</v>
      </c>
    </row>
    <row r="44" spans="1:5" ht="15.75">
      <c r="A44" s="224">
        <v>2</v>
      </c>
      <c r="B44" s="225" t="s">
        <v>192</v>
      </c>
      <c r="C44" s="226">
        <f>SUM(C45:C46)</f>
        <v>48946</v>
      </c>
      <c r="D44" s="226">
        <f>SUM(D45:D46)</f>
        <v>28568</v>
      </c>
      <c r="E44" s="226">
        <f>SUM(E45:E46)</f>
        <v>20378</v>
      </c>
    </row>
    <row r="45" spans="1:5" ht="15.75">
      <c r="A45" s="224"/>
      <c r="B45" s="247" t="s">
        <v>323</v>
      </c>
      <c r="C45" s="226">
        <f>D45+E45</f>
        <v>3000</v>
      </c>
      <c r="D45" s="511">
        <v>3000</v>
      </c>
      <c r="E45" s="226"/>
    </row>
    <row r="46" spans="1:5" ht="15.75">
      <c r="A46" s="224"/>
      <c r="B46" s="247" t="s">
        <v>324</v>
      </c>
      <c r="C46" s="226">
        <f t="shared" si="1"/>
        <v>45946</v>
      </c>
      <c r="D46" s="226">
        <v>25568</v>
      </c>
      <c r="E46" s="226">
        <v>20378</v>
      </c>
    </row>
    <row r="47" spans="1:5" ht="15.75">
      <c r="A47" s="224">
        <v>3</v>
      </c>
      <c r="B47" s="225" t="s">
        <v>193</v>
      </c>
      <c r="C47" s="226">
        <f>SUM(C48:C49)</f>
        <v>12106</v>
      </c>
      <c r="D47" s="226">
        <f>SUM(D48:D49)</f>
        <v>11026</v>
      </c>
      <c r="E47" s="226">
        <f>SUM(E48:E49)</f>
        <v>1080</v>
      </c>
    </row>
    <row r="48" spans="1:5" ht="15.75">
      <c r="A48" s="224"/>
      <c r="B48" s="247" t="s">
        <v>323</v>
      </c>
      <c r="C48" s="226">
        <f t="shared" si="1"/>
        <v>10296</v>
      </c>
      <c r="D48" s="511">
        <v>10296</v>
      </c>
      <c r="E48" s="226"/>
    </row>
    <row r="49" spans="1:5" ht="15.75">
      <c r="A49" s="224"/>
      <c r="B49" s="247" t="s">
        <v>324</v>
      </c>
      <c r="C49" s="226">
        <f t="shared" si="1"/>
        <v>1810</v>
      </c>
      <c r="D49" s="226">
        <v>730</v>
      </c>
      <c r="E49" s="226">
        <v>1080</v>
      </c>
    </row>
    <row r="50" spans="1:5" ht="21.75" customHeight="1">
      <c r="A50" s="219" t="s">
        <v>21</v>
      </c>
      <c r="B50" s="220" t="s">
        <v>201</v>
      </c>
      <c r="C50" s="221">
        <f>SUM(C51:C52)</f>
        <v>1834</v>
      </c>
      <c r="D50" s="221">
        <f>SUM(D51:D52)</f>
        <v>184</v>
      </c>
      <c r="E50" s="221">
        <f>SUM(E51:E52)</f>
        <v>1650</v>
      </c>
    </row>
    <row r="51" spans="1:5" ht="21.75" customHeight="1">
      <c r="A51" s="224">
        <v>1</v>
      </c>
      <c r="B51" s="247" t="s">
        <v>202</v>
      </c>
      <c r="C51" s="226">
        <f>D51+E51</f>
        <v>1650</v>
      </c>
      <c r="D51" s="235">
        <v>0</v>
      </c>
      <c r="E51" s="235">
        <v>1650</v>
      </c>
    </row>
    <row r="52" spans="1:5" ht="21.75" customHeight="1">
      <c r="A52" s="224">
        <v>2</v>
      </c>
      <c r="B52" s="247" t="s">
        <v>196</v>
      </c>
      <c r="C52" s="226">
        <f>D52+E52</f>
        <v>184</v>
      </c>
      <c r="D52" s="235">
        <v>184</v>
      </c>
      <c r="E52" s="226"/>
    </row>
    <row r="53" spans="1:5" ht="21.75" customHeight="1" hidden="1" thickBot="1">
      <c r="A53" s="264" t="s">
        <v>321</v>
      </c>
      <c r="B53" s="265" t="s">
        <v>322</v>
      </c>
      <c r="C53" s="266"/>
      <c r="D53" s="266"/>
      <c r="E53" s="266"/>
    </row>
  </sheetData>
  <sheetProtection/>
  <mergeCells count="8">
    <mergeCell ref="A4:E4"/>
    <mergeCell ref="A6:A7"/>
    <mergeCell ref="B6:B7"/>
    <mergeCell ref="C6:C7"/>
    <mergeCell ref="C1:E1"/>
    <mergeCell ref="A3:E3"/>
    <mergeCell ref="D5:E5"/>
    <mergeCell ref="D6:E6"/>
  </mergeCells>
  <printOptions/>
  <pageMargins left="0.68" right="0.23" top="0.75" bottom="0.75" header="0.3" footer="0.3"/>
  <pageSetup fitToHeight="0" fitToWidth="1" horizontalDpi="600" verticalDpi="600" orientation="portrait" paperSize="9" scale="99" r:id="rId1"/>
  <colBreaks count="1" manualBreakCount="1">
    <brk id="5" max="65535" man="1"/>
  </col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58"/>
  <sheetViews>
    <sheetView view="pageBreakPreview" zoomScaleSheetLayoutView="100" zoomScalePageLayoutView="0" workbookViewId="0" topLeftCell="A25">
      <selection activeCell="C17" sqref="C17"/>
    </sheetView>
  </sheetViews>
  <sheetFormatPr defaultColWidth="8.796875" defaultRowHeight="15"/>
  <cols>
    <col min="1" max="1" width="5.09765625" style="26" customWidth="1"/>
    <col min="2" max="2" width="60.19921875" style="26" customWidth="1"/>
    <col min="3" max="3" width="19.09765625" style="64" customWidth="1"/>
    <col min="4" max="4" width="9" style="26" customWidth="1"/>
    <col min="5" max="5" width="10.19921875" style="26" customWidth="1"/>
    <col min="6" max="16384" width="9" style="26" customWidth="1"/>
  </cols>
  <sheetData>
    <row r="1" spans="1:3" ht="21" customHeight="1">
      <c r="A1" s="197"/>
      <c r="B1" s="433" t="s">
        <v>185</v>
      </c>
      <c r="C1" s="433"/>
    </row>
    <row r="2" spans="1:3" ht="21" customHeight="1">
      <c r="A2" s="408" t="s">
        <v>364</v>
      </c>
      <c r="B2" s="408"/>
      <c r="C2" s="408"/>
    </row>
    <row r="3" spans="1:3" ht="21" customHeight="1">
      <c r="A3" s="411" t="str">
        <f>PL15!A3</f>
        <v>(Kèm theo Nghị quyết số       /NQ-HĐND ngày          tháng 12 năm 2023 của HĐND huyện Tuần Giáo)</v>
      </c>
      <c r="B3" s="411"/>
      <c r="C3" s="411"/>
    </row>
    <row r="4" spans="1:3" ht="23.25" customHeight="1">
      <c r="A4" s="248"/>
      <c r="B4" s="248"/>
      <c r="C4" s="249" t="s">
        <v>90</v>
      </c>
    </row>
    <row r="5" spans="1:3" ht="9.75" customHeight="1">
      <c r="A5" s="419" t="s">
        <v>60</v>
      </c>
      <c r="B5" s="419" t="s">
        <v>6</v>
      </c>
      <c r="C5" s="418" t="s">
        <v>7</v>
      </c>
    </row>
    <row r="6" spans="1:3" ht="9.75" customHeight="1">
      <c r="A6" s="419"/>
      <c r="B6" s="419"/>
      <c r="C6" s="418"/>
    </row>
    <row r="7" spans="1:3" ht="9.75" customHeight="1">
      <c r="A7" s="419"/>
      <c r="B7" s="419"/>
      <c r="C7" s="418"/>
    </row>
    <row r="8" spans="1:3" s="43" customFormat="1" ht="17.25" customHeight="1">
      <c r="A8" s="286" t="s">
        <v>10</v>
      </c>
      <c r="B8" s="286" t="s">
        <v>11</v>
      </c>
      <c r="C8" s="286">
        <v>1</v>
      </c>
    </row>
    <row r="9" spans="1:5" ht="21.75" customHeight="1">
      <c r="A9" s="286"/>
      <c r="B9" s="220" t="s">
        <v>370</v>
      </c>
      <c r="C9" s="250">
        <f>C10+C13+C39</f>
        <v>1098717</v>
      </c>
      <c r="D9" s="36">
        <f>C9-PL35!C10</f>
        <v>0</v>
      </c>
      <c r="E9" s="36">
        <f>C9-C10</f>
        <v>955607</v>
      </c>
    </row>
    <row r="10" spans="1:3" ht="21.75" customHeight="1">
      <c r="A10" s="286" t="s">
        <v>10</v>
      </c>
      <c r="B10" s="220" t="s">
        <v>190</v>
      </c>
      <c r="C10" s="250">
        <f>C11+C12</f>
        <v>143110</v>
      </c>
    </row>
    <row r="11" spans="1:5" ht="21.75" customHeight="1">
      <c r="A11" s="224">
        <v>1</v>
      </c>
      <c r="B11" s="225" t="s">
        <v>191</v>
      </c>
      <c r="C11" s="235">
        <v>108925</v>
      </c>
      <c r="E11" s="36"/>
    </row>
    <row r="12" spans="1:3" ht="21.75" customHeight="1">
      <c r="A12" s="224">
        <v>2</v>
      </c>
      <c r="B12" s="225" t="s">
        <v>99</v>
      </c>
      <c r="C12" s="235">
        <v>34185</v>
      </c>
    </row>
    <row r="13" spans="1:5" ht="21.75" customHeight="1">
      <c r="A13" s="286" t="s">
        <v>11</v>
      </c>
      <c r="B13" s="220" t="s">
        <v>371</v>
      </c>
      <c r="C13" s="250">
        <f>+C14+C42</f>
        <v>955607</v>
      </c>
      <c r="D13" s="36"/>
      <c r="E13" s="36"/>
    </row>
    <row r="14" spans="1:5" ht="21.75" customHeight="1">
      <c r="A14" s="359" t="s">
        <v>376</v>
      </c>
      <c r="B14" s="360" t="s">
        <v>375</v>
      </c>
      <c r="C14" s="250">
        <f>+C15+C22+C37</f>
        <v>716892</v>
      </c>
      <c r="D14" s="36"/>
      <c r="E14" s="36"/>
    </row>
    <row r="15" spans="1:5" ht="21.75" customHeight="1">
      <c r="A15" s="286" t="s">
        <v>20</v>
      </c>
      <c r="B15" s="220" t="s">
        <v>43</v>
      </c>
      <c r="C15" s="512">
        <f>C16+C21</f>
        <v>34125</v>
      </c>
      <c r="D15" s="36">
        <f>E15-PL36!C11</f>
        <v>0</v>
      </c>
      <c r="E15" s="36">
        <f>+C15+C45+C48+C51</f>
        <v>157455</v>
      </c>
    </row>
    <row r="16" spans="1:5" s="44" customFormat="1" ht="21.75" customHeight="1">
      <c r="A16" s="224">
        <v>1</v>
      </c>
      <c r="B16" s="225" t="s">
        <v>74</v>
      </c>
      <c r="C16" s="331">
        <f>+C17+C18+C19</f>
        <v>34125</v>
      </c>
      <c r="E16" s="45"/>
    </row>
    <row r="17" spans="1:3" s="44" customFormat="1" ht="21.75" customHeight="1">
      <c r="A17" s="228" t="s">
        <v>17</v>
      </c>
      <c r="B17" s="243" t="s">
        <v>312</v>
      </c>
      <c r="C17" s="331">
        <v>2966</v>
      </c>
    </row>
    <row r="18" spans="1:3" s="44" customFormat="1" ht="21.75" customHeight="1">
      <c r="A18" s="228" t="s">
        <v>17</v>
      </c>
      <c r="B18" s="330" t="s">
        <v>38</v>
      </c>
      <c r="C18" s="331">
        <v>1600</v>
      </c>
    </row>
    <row r="19" spans="1:3" s="44" customFormat="1" ht="21.75" customHeight="1">
      <c r="A19" s="228" t="s">
        <v>17</v>
      </c>
      <c r="B19" s="243" t="s">
        <v>115</v>
      </c>
      <c r="C19" s="331">
        <v>29559</v>
      </c>
    </row>
    <row r="20" spans="1:3" s="44" customFormat="1" ht="21.75" customHeight="1" hidden="1">
      <c r="A20" s="228" t="s">
        <v>17</v>
      </c>
      <c r="B20" s="243" t="s">
        <v>313</v>
      </c>
      <c r="C20" s="235"/>
    </row>
    <row r="21" spans="1:3" ht="21.75" customHeight="1" hidden="1">
      <c r="A21" s="228">
        <v>2</v>
      </c>
      <c r="B21" s="225" t="s">
        <v>139</v>
      </c>
      <c r="C21" s="235"/>
    </row>
    <row r="22" spans="1:3" ht="21.75" customHeight="1">
      <c r="A22" s="286" t="s">
        <v>21</v>
      </c>
      <c r="B22" s="220" t="s">
        <v>26</v>
      </c>
      <c r="C22" s="250">
        <f>SUM(C23:C36)</f>
        <v>668432</v>
      </c>
    </row>
    <row r="23" spans="1:3" s="44" customFormat="1" ht="21.75" customHeight="1">
      <c r="A23" s="224">
        <v>1</v>
      </c>
      <c r="B23" s="225" t="s">
        <v>229</v>
      </c>
      <c r="C23" s="235">
        <v>498815</v>
      </c>
    </row>
    <row r="24" spans="1:3" s="44" customFormat="1" ht="21.75" customHeight="1">
      <c r="A24" s="224">
        <v>2</v>
      </c>
      <c r="B24" s="225" t="s">
        <v>34</v>
      </c>
      <c r="C24" s="235">
        <v>415</v>
      </c>
    </row>
    <row r="25" spans="1:3" s="44" customFormat="1" ht="21.75" customHeight="1">
      <c r="A25" s="224">
        <v>3</v>
      </c>
      <c r="B25" s="251" t="s">
        <v>35</v>
      </c>
      <c r="C25" s="235">
        <v>3300</v>
      </c>
    </row>
    <row r="26" spans="1:3" s="44" customFormat="1" ht="21.75" customHeight="1">
      <c r="A26" s="224">
        <v>4</v>
      </c>
      <c r="B26" s="251" t="s">
        <v>36</v>
      </c>
      <c r="C26" s="235">
        <v>1800</v>
      </c>
    </row>
    <row r="27" spans="1:3" s="44" customFormat="1" ht="21.75" customHeight="1">
      <c r="A27" s="224">
        <v>5</v>
      </c>
      <c r="B27" s="251" t="s">
        <v>37</v>
      </c>
      <c r="C27" s="235">
        <v>315</v>
      </c>
    </row>
    <row r="28" spans="1:3" s="44" customFormat="1" ht="21.75" customHeight="1">
      <c r="A28" s="224">
        <v>6</v>
      </c>
      <c r="B28" s="251" t="s">
        <v>38</v>
      </c>
      <c r="C28" s="235">
        <v>1831</v>
      </c>
    </row>
    <row r="29" spans="1:3" s="44" customFormat="1" ht="21.75" customHeight="1">
      <c r="A29" s="224">
        <v>7</v>
      </c>
      <c r="B29" s="251" t="s">
        <v>39</v>
      </c>
      <c r="C29" s="235">
        <v>2992</v>
      </c>
    </row>
    <row r="30" spans="1:3" s="44" customFormat="1" ht="21.75" customHeight="1">
      <c r="A30" s="224">
        <v>8</v>
      </c>
      <c r="B30" s="251" t="s">
        <v>40</v>
      </c>
      <c r="C30" s="235">
        <v>615</v>
      </c>
    </row>
    <row r="31" spans="1:3" s="44" customFormat="1" ht="21.75" customHeight="1">
      <c r="A31" s="224">
        <v>9</v>
      </c>
      <c r="B31" s="251" t="s">
        <v>41</v>
      </c>
      <c r="C31" s="235">
        <v>7000</v>
      </c>
    </row>
    <row r="32" spans="1:3" ht="21.75" customHeight="1">
      <c r="A32" s="224">
        <v>10</v>
      </c>
      <c r="B32" s="251" t="s">
        <v>216</v>
      </c>
      <c r="C32" s="509">
        <f>47633+550</f>
        <v>48183</v>
      </c>
    </row>
    <row r="33" spans="1:3" s="44" customFormat="1" ht="21.75" customHeight="1">
      <c r="A33" s="224">
        <v>11</v>
      </c>
      <c r="B33" s="251" t="s">
        <v>197</v>
      </c>
      <c r="C33" s="509">
        <f>42014+3410</f>
        <v>45424</v>
      </c>
    </row>
    <row r="34" spans="1:3" ht="21.75" customHeight="1">
      <c r="A34" s="224">
        <v>12</v>
      </c>
      <c r="B34" s="251" t="s">
        <v>27</v>
      </c>
      <c r="C34" s="235">
        <v>55332</v>
      </c>
    </row>
    <row r="35" spans="1:3" ht="21.75" customHeight="1">
      <c r="A35" s="224">
        <v>13</v>
      </c>
      <c r="B35" s="251" t="s">
        <v>42</v>
      </c>
      <c r="C35" s="509">
        <f>3000-550-40</f>
        <v>2410</v>
      </c>
    </row>
    <row r="36" spans="1:3" ht="21.75" customHeight="1" hidden="1">
      <c r="A36" s="224">
        <v>14</v>
      </c>
      <c r="B36" s="225" t="s">
        <v>317</v>
      </c>
      <c r="C36" s="235"/>
    </row>
    <row r="37" spans="1:3" ht="21.75" customHeight="1">
      <c r="A37" s="286" t="s">
        <v>22</v>
      </c>
      <c r="B37" s="220" t="s">
        <v>29</v>
      </c>
      <c r="C37" s="510">
        <f>14225+70+40</f>
        <v>14335</v>
      </c>
    </row>
    <row r="38" spans="1:3" ht="21.75" customHeight="1" hidden="1">
      <c r="A38" s="361" t="s">
        <v>23</v>
      </c>
      <c r="B38" s="362" t="s">
        <v>75</v>
      </c>
      <c r="C38" s="363"/>
    </row>
    <row r="39" spans="1:3" ht="21.75" customHeight="1" hidden="1">
      <c r="A39" s="361" t="s">
        <v>321</v>
      </c>
      <c r="B39" s="362" t="s">
        <v>322</v>
      </c>
      <c r="C39" s="364"/>
    </row>
    <row r="40" spans="1:3" ht="15.75" hidden="1">
      <c r="A40" s="365"/>
      <c r="B40" s="365"/>
      <c r="C40" s="366"/>
    </row>
    <row r="41" spans="1:3" ht="15.75" hidden="1">
      <c r="A41" s="365"/>
      <c r="B41" s="365"/>
      <c r="C41" s="366"/>
    </row>
    <row r="42" spans="1:3" ht="23.25" customHeight="1">
      <c r="A42" s="367" t="s">
        <v>377</v>
      </c>
      <c r="B42" s="229" t="s">
        <v>107</v>
      </c>
      <c r="C42" s="221">
        <f>C43+C53</f>
        <v>238715</v>
      </c>
    </row>
    <row r="43" spans="1:3" ht="23.25" customHeight="1">
      <c r="A43" s="286" t="s">
        <v>20</v>
      </c>
      <c r="B43" s="220" t="s">
        <v>104</v>
      </c>
      <c r="C43" s="221">
        <f>C44+C50+C47</f>
        <v>238531</v>
      </c>
    </row>
    <row r="44" spans="1:3" ht="33.75" customHeight="1">
      <c r="A44" s="224">
        <v>1</v>
      </c>
      <c r="B44" s="230" t="s">
        <v>306</v>
      </c>
      <c r="C44" s="226">
        <f>C45+C46</f>
        <v>198937</v>
      </c>
    </row>
    <row r="45" spans="1:3" ht="21" customHeight="1">
      <c r="A45" s="224"/>
      <c r="B45" s="225" t="s">
        <v>194</v>
      </c>
      <c r="C45" s="511">
        <v>110034</v>
      </c>
    </row>
    <row r="46" spans="1:3" ht="21" customHeight="1">
      <c r="A46" s="224"/>
      <c r="B46" s="225" t="s">
        <v>195</v>
      </c>
      <c r="C46" s="226">
        <v>88903</v>
      </c>
    </row>
    <row r="47" spans="1:3" ht="21" customHeight="1">
      <c r="A47" s="224">
        <v>2</v>
      </c>
      <c r="B47" s="230" t="s">
        <v>307</v>
      </c>
      <c r="C47" s="226">
        <f>C48+C49</f>
        <v>28568</v>
      </c>
    </row>
    <row r="48" spans="1:3" ht="21" customHeight="1">
      <c r="A48" s="224"/>
      <c r="B48" s="225" t="s">
        <v>194</v>
      </c>
      <c r="C48" s="511">
        <v>3000</v>
      </c>
    </row>
    <row r="49" spans="1:3" ht="21" customHeight="1">
      <c r="A49" s="224"/>
      <c r="B49" s="225" t="s">
        <v>195</v>
      </c>
      <c r="C49" s="226">
        <v>25568</v>
      </c>
    </row>
    <row r="50" spans="1:3" ht="21" customHeight="1">
      <c r="A50" s="224">
        <v>3</v>
      </c>
      <c r="B50" s="225" t="s">
        <v>193</v>
      </c>
      <c r="C50" s="226">
        <f>C51+C52</f>
        <v>11026</v>
      </c>
    </row>
    <row r="51" spans="1:3" ht="21" customHeight="1">
      <c r="A51" s="224"/>
      <c r="B51" s="225" t="s">
        <v>194</v>
      </c>
      <c r="C51" s="511">
        <v>10296</v>
      </c>
    </row>
    <row r="52" spans="1:3" ht="21" customHeight="1">
      <c r="A52" s="224"/>
      <c r="B52" s="225" t="s">
        <v>195</v>
      </c>
      <c r="C52" s="226">
        <v>730</v>
      </c>
    </row>
    <row r="53" spans="1:3" ht="21" customHeight="1">
      <c r="A53" s="286" t="s">
        <v>21</v>
      </c>
      <c r="B53" s="220" t="s">
        <v>201</v>
      </c>
      <c r="C53" s="221">
        <f>C54+C56</f>
        <v>184</v>
      </c>
    </row>
    <row r="54" spans="1:3" ht="21" customHeight="1">
      <c r="A54" s="224">
        <v>1</v>
      </c>
      <c r="B54" s="225" t="s">
        <v>194</v>
      </c>
      <c r="C54" s="226">
        <f>C55</f>
        <v>0</v>
      </c>
    </row>
    <row r="55" spans="1:3" ht="21" customHeight="1" hidden="1">
      <c r="A55" s="231"/>
      <c r="B55" s="232" t="s">
        <v>318</v>
      </c>
      <c r="C55" s="233"/>
    </row>
    <row r="56" spans="1:3" ht="21" customHeight="1">
      <c r="A56" s="224">
        <v>2</v>
      </c>
      <c r="B56" s="225" t="s">
        <v>195</v>
      </c>
      <c r="C56" s="226">
        <f>C57+C58+C59+C60+C61+C62+C63</f>
        <v>184</v>
      </c>
    </row>
    <row r="57" spans="1:3" ht="21" customHeight="1">
      <c r="A57" s="224"/>
      <c r="B57" s="225" t="s">
        <v>309</v>
      </c>
      <c r="C57" s="226"/>
    </row>
    <row r="58" spans="1:3" ht="21" customHeight="1">
      <c r="A58" s="224"/>
      <c r="B58" s="225" t="s">
        <v>319</v>
      </c>
      <c r="C58" s="226">
        <v>184</v>
      </c>
    </row>
  </sheetData>
  <sheetProtection/>
  <mergeCells count="6">
    <mergeCell ref="B1:C1"/>
    <mergeCell ref="A2:C2"/>
    <mergeCell ref="A3:C3"/>
    <mergeCell ref="A5:A7"/>
    <mergeCell ref="B5:B7"/>
    <mergeCell ref="C5:C7"/>
  </mergeCells>
  <printOptions/>
  <pageMargins left="0.62" right="0.38" top="0.94" bottom="1.35" header="0.57"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43"/>
  <sheetViews>
    <sheetView view="pageBreakPreview" zoomScale="90" zoomScaleSheetLayoutView="90" zoomScalePageLayoutView="0" workbookViewId="0" topLeftCell="A1">
      <pane xSplit="3" ySplit="10" topLeftCell="D35" activePane="bottomRight" state="frozen"/>
      <selection pane="topLeft" activeCell="A1" sqref="A1"/>
      <selection pane="topRight" activeCell="D1" sqref="D1"/>
      <selection pane="bottomLeft" activeCell="A11" sqref="A11"/>
      <selection pane="bottomRight" activeCell="I45" sqref="I45"/>
    </sheetView>
  </sheetViews>
  <sheetFormatPr defaultColWidth="8.796875" defaultRowHeight="15"/>
  <cols>
    <col min="1" max="1" width="5.5" style="350" customWidth="1"/>
    <col min="2" max="2" width="36.09765625" style="350" customWidth="1"/>
    <col min="3" max="5" width="10.09765625" style="350" customWidth="1"/>
    <col min="6" max="6" width="7.19921875" style="350" customWidth="1"/>
    <col min="7" max="7" width="9.19921875" style="350" hidden="1" customWidth="1"/>
    <col min="8" max="9" width="10.09765625" style="350" customWidth="1"/>
    <col min="10" max="10" width="8" style="350" customWidth="1"/>
    <col min="11" max="11" width="6.69921875" style="350" customWidth="1"/>
    <col min="12" max="12" width="8.3984375" style="350" customWidth="1"/>
    <col min="13" max="13" width="8.59765625" style="350" customWidth="1"/>
    <col min="14" max="14" width="9.3984375" style="350" hidden="1" customWidth="1"/>
    <col min="15" max="15" width="11.19921875" style="350" customWidth="1"/>
    <col min="16" max="16384" width="9" style="350" customWidth="1"/>
  </cols>
  <sheetData>
    <row r="1" spans="1:14" s="46" customFormat="1" ht="21" customHeight="1">
      <c r="A1" s="332"/>
      <c r="B1" s="332"/>
      <c r="C1" s="333"/>
      <c r="D1" s="333"/>
      <c r="E1" s="333"/>
      <c r="F1" s="332"/>
      <c r="G1" s="333"/>
      <c r="H1" s="333"/>
      <c r="I1" s="110"/>
      <c r="J1" s="110"/>
      <c r="K1" s="110"/>
      <c r="L1" s="29"/>
      <c r="M1" s="111" t="s">
        <v>184</v>
      </c>
      <c r="N1" s="110"/>
    </row>
    <row r="2" spans="1:14" s="46" customFormat="1" ht="21" customHeight="1">
      <c r="A2" s="112" t="s">
        <v>363</v>
      </c>
      <c r="B2" s="332"/>
      <c r="C2" s="333"/>
      <c r="D2" s="333"/>
      <c r="E2" s="333"/>
      <c r="F2" s="333"/>
      <c r="G2" s="333"/>
      <c r="H2" s="333"/>
      <c r="I2" s="333"/>
      <c r="J2" s="333"/>
      <c r="K2" s="333"/>
      <c r="L2" s="333"/>
      <c r="M2" s="333"/>
      <c r="N2" s="333"/>
    </row>
    <row r="3" spans="1:14" s="46" customFormat="1" ht="21" customHeight="1">
      <c r="A3" s="415" t="str">
        <f>PL34!A3</f>
        <v>(Kèm theo Nghị quyết số       /NQ-HĐND ngày          tháng 12 năm 2023 của HĐND huyện Tuần Giáo)</v>
      </c>
      <c r="B3" s="415"/>
      <c r="C3" s="415"/>
      <c r="D3" s="415"/>
      <c r="E3" s="415"/>
      <c r="F3" s="415"/>
      <c r="G3" s="415"/>
      <c r="H3" s="415"/>
      <c r="I3" s="415"/>
      <c r="J3" s="415"/>
      <c r="K3" s="415"/>
      <c r="L3" s="415"/>
      <c r="M3" s="415"/>
      <c r="N3" s="333"/>
    </row>
    <row r="4" spans="1:14" s="46" customFormat="1" ht="19.5" customHeight="1">
      <c r="A4" s="113"/>
      <c r="B4" s="113"/>
      <c r="C4" s="334"/>
      <c r="D4" s="334"/>
      <c r="E4" s="334"/>
      <c r="F4" s="288"/>
      <c r="G4" s="288"/>
      <c r="H4" s="288"/>
      <c r="I4" s="288"/>
      <c r="J4" s="288"/>
      <c r="K4" s="288"/>
      <c r="L4" s="335"/>
      <c r="M4" s="336" t="s">
        <v>90</v>
      </c>
      <c r="N4" s="337"/>
    </row>
    <row r="5" spans="1:14" s="46" customFormat="1" ht="39" customHeight="1">
      <c r="A5" s="437" t="s">
        <v>60</v>
      </c>
      <c r="B5" s="438" t="s">
        <v>31</v>
      </c>
      <c r="C5" s="438" t="s">
        <v>79</v>
      </c>
      <c r="D5" s="437" t="s">
        <v>372</v>
      </c>
      <c r="E5" s="437" t="s">
        <v>373</v>
      </c>
      <c r="F5" s="437" t="s">
        <v>96</v>
      </c>
      <c r="G5" s="437" t="s">
        <v>75</v>
      </c>
      <c r="H5" s="438" t="s">
        <v>119</v>
      </c>
      <c r="I5" s="438"/>
      <c r="J5" s="438"/>
      <c r="K5" s="437" t="s">
        <v>178</v>
      </c>
      <c r="L5" s="437"/>
      <c r="M5" s="437"/>
      <c r="N5" s="437" t="s">
        <v>97</v>
      </c>
    </row>
    <row r="6" spans="1:14" s="46" customFormat="1" ht="19.5" customHeight="1">
      <c r="A6" s="437"/>
      <c r="B6" s="438"/>
      <c r="C6" s="438"/>
      <c r="D6" s="437"/>
      <c r="E6" s="437"/>
      <c r="F6" s="437"/>
      <c r="G6" s="437"/>
      <c r="H6" s="438" t="s">
        <v>79</v>
      </c>
      <c r="I6" s="437" t="s">
        <v>24</v>
      </c>
      <c r="J6" s="437" t="s">
        <v>26</v>
      </c>
      <c r="K6" s="437" t="s">
        <v>79</v>
      </c>
      <c r="L6" s="437" t="s">
        <v>24</v>
      </c>
      <c r="M6" s="437" t="s">
        <v>26</v>
      </c>
      <c r="N6" s="437"/>
    </row>
    <row r="7" spans="1:14" s="46" customFormat="1" ht="19.5" customHeight="1">
      <c r="A7" s="437"/>
      <c r="B7" s="438"/>
      <c r="C7" s="438"/>
      <c r="D7" s="437"/>
      <c r="E7" s="437"/>
      <c r="F7" s="437"/>
      <c r="G7" s="437"/>
      <c r="H7" s="438"/>
      <c r="I7" s="437"/>
      <c r="J7" s="437"/>
      <c r="K7" s="437"/>
      <c r="L7" s="437"/>
      <c r="M7" s="437"/>
      <c r="N7" s="437"/>
    </row>
    <row r="8" spans="1:14" s="46" customFormat="1" ht="25.5" customHeight="1">
      <c r="A8" s="437"/>
      <c r="B8" s="438"/>
      <c r="C8" s="438"/>
      <c r="D8" s="437"/>
      <c r="E8" s="437"/>
      <c r="F8" s="437"/>
      <c r="G8" s="437"/>
      <c r="H8" s="438"/>
      <c r="I8" s="437"/>
      <c r="J8" s="437"/>
      <c r="K8" s="437"/>
      <c r="L8" s="437"/>
      <c r="M8" s="437"/>
      <c r="N8" s="437"/>
    </row>
    <row r="9" spans="1:14" s="29" customFormat="1" ht="18.75" customHeight="1">
      <c r="A9" s="28" t="s">
        <v>10</v>
      </c>
      <c r="B9" s="28" t="s">
        <v>11</v>
      </c>
      <c r="C9" s="28">
        <v>1</v>
      </c>
      <c r="D9" s="51">
        <f>C9+1</f>
        <v>2</v>
      </c>
      <c r="E9" s="51">
        <f aca="true" t="shared" si="0" ref="E9:M9">D9+1</f>
        <v>3</v>
      </c>
      <c r="F9" s="51">
        <v>4</v>
      </c>
      <c r="G9" s="51"/>
      <c r="H9" s="51">
        <v>5</v>
      </c>
      <c r="I9" s="51">
        <f t="shared" si="0"/>
        <v>6</v>
      </c>
      <c r="J9" s="51">
        <f t="shared" si="0"/>
        <v>7</v>
      </c>
      <c r="K9" s="51">
        <f t="shared" si="0"/>
        <v>8</v>
      </c>
      <c r="L9" s="51">
        <f t="shared" si="0"/>
        <v>9</v>
      </c>
      <c r="M9" s="51">
        <f t="shared" si="0"/>
        <v>10</v>
      </c>
      <c r="N9" s="51">
        <v>12</v>
      </c>
    </row>
    <row r="10" spans="1:15" s="46" customFormat="1" ht="18.75" customHeight="1">
      <c r="A10" s="287"/>
      <c r="B10" s="115" t="s">
        <v>30</v>
      </c>
      <c r="C10" s="338">
        <f aca="true" t="shared" si="1" ref="C10:N10">C11+C38+C39+C40+C41</f>
        <v>1098717</v>
      </c>
      <c r="D10" s="338">
        <f t="shared" si="1"/>
        <v>36645</v>
      </c>
      <c r="E10" s="338">
        <f>E11+E38+E39+E40+E41</f>
        <v>772582</v>
      </c>
      <c r="F10" s="338">
        <f t="shared" si="1"/>
        <v>16590</v>
      </c>
      <c r="G10" s="338">
        <f t="shared" si="1"/>
        <v>0</v>
      </c>
      <c r="H10" s="338">
        <f>H11+H38+H39+H40+H41</f>
        <v>271066</v>
      </c>
      <c r="I10" s="338">
        <f t="shared" si="1"/>
        <v>123330</v>
      </c>
      <c r="J10" s="338">
        <f t="shared" si="1"/>
        <v>147736</v>
      </c>
      <c r="K10" s="338">
        <f t="shared" si="1"/>
        <v>1834</v>
      </c>
      <c r="L10" s="338">
        <f t="shared" si="1"/>
        <v>0</v>
      </c>
      <c r="M10" s="338">
        <f t="shared" si="1"/>
        <v>1834</v>
      </c>
      <c r="N10" s="339">
        <f t="shared" si="1"/>
        <v>0</v>
      </c>
      <c r="O10" s="498">
        <f>C10-C40</f>
        <v>955607</v>
      </c>
    </row>
    <row r="11" spans="1:14" s="341" customFormat="1" ht="18.75" customHeight="1">
      <c r="A11" s="287" t="s">
        <v>20</v>
      </c>
      <c r="B11" s="115" t="s">
        <v>120</v>
      </c>
      <c r="C11" s="338">
        <f aca="true" t="shared" si="2" ref="C11:M11">SUM(C12:C37)</f>
        <v>941272</v>
      </c>
      <c r="D11" s="338">
        <f t="shared" si="2"/>
        <v>34125</v>
      </c>
      <c r="E11" s="338">
        <f t="shared" si="2"/>
        <v>668432</v>
      </c>
      <c r="F11" s="338">
        <f t="shared" si="2"/>
        <v>0</v>
      </c>
      <c r="G11" s="338">
        <f t="shared" si="2"/>
        <v>0</v>
      </c>
      <c r="H11" s="338">
        <f t="shared" si="2"/>
        <v>238531</v>
      </c>
      <c r="I11" s="338">
        <f t="shared" si="2"/>
        <v>123330</v>
      </c>
      <c r="J11" s="338">
        <f t="shared" si="2"/>
        <v>115201</v>
      </c>
      <c r="K11" s="338">
        <f t="shared" si="2"/>
        <v>184</v>
      </c>
      <c r="L11" s="338">
        <f t="shared" si="2"/>
        <v>0</v>
      </c>
      <c r="M11" s="338">
        <f t="shared" si="2"/>
        <v>184</v>
      </c>
      <c r="N11" s="340">
        <f>SUM(N12:N36)</f>
        <v>0</v>
      </c>
    </row>
    <row r="12" spans="1:14" s="46" customFormat="1" ht="18.75" customHeight="1">
      <c r="A12" s="28">
        <v>1</v>
      </c>
      <c r="B12" s="342" t="s">
        <v>159</v>
      </c>
      <c r="C12" s="116">
        <f>SUM(D12:H12)+K12+N12</f>
        <v>8707</v>
      </c>
      <c r="D12" s="116"/>
      <c r="E12" s="116">
        <v>8707</v>
      </c>
      <c r="F12" s="116"/>
      <c r="G12" s="116"/>
      <c r="H12" s="116">
        <f>I12+J12</f>
        <v>0</v>
      </c>
      <c r="I12" s="116"/>
      <c r="J12" s="116"/>
      <c r="K12" s="116">
        <f>L12+M12</f>
        <v>0</v>
      </c>
      <c r="L12" s="116"/>
      <c r="M12" s="116"/>
      <c r="N12" s="343"/>
    </row>
    <row r="13" spans="1:14" s="46" customFormat="1" ht="18.75" customHeight="1">
      <c r="A13" s="28">
        <f>A12+1</f>
        <v>2</v>
      </c>
      <c r="B13" s="342" t="s">
        <v>160</v>
      </c>
      <c r="C13" s="116">
        <f aca="true" t="shared" si="3" ref="C13:C41">SUM(D13:H13)+K13+N13</f>
        <v>9538</v>
      </c>
      <c r="D13" s="116"/>
      <c r="E13" s="116">
        <v>9538</v>
      </c>
      <c r="F13" s="116"/>
      <c r="G13" s="116"/>
      <c r="H13" s="116">
        <f aca="true" t="shared" si="4" ref="H13:H41">I13+J13</f>
        <v>0</v>
      </c>
      <c r="I13" s="116"/>
      <c r="J13" s="116"/>
      <c r="K13" s="116">
        <f aca="true" t="shared" si="5" ref="K13:K41">L13+M13</f>
        <v>0</v>
      </c>
      <c r="L13" s="116"/>
      <c r="M13" s="116"/>
      <c r="N13" s="343"/>
    </row>
    <row r="14" spans="1:14" s="46" customFormat="1" ht="18.75" customHeight="1">
      <c r="A14" s="28">
        <f>A13+1</f>
        <v>3</v>
      </c>
      <c r="B14" s="342" t="s">
        <v>161</v>
      </c>
      <c r="C14" s="116">
        <f t="shared" si="3"/>
        <v>4374</v>
      </c>
      <c r="D14" s="116"/>
      <c r="E14" s="116">
        <v>4374</v>
      </c>
      <c r="F14" s="116"/>
      <c r="G14" s="116"/>
      <c r="H14" s="116">
        <f t="shared" si="4"/>
        <v>0</v>
      </c>
      <c r="I14" s="116"/>
      <c r="J14" s="116"/>
      <c r="K14" s="116">
        <f t="shared" si="5"/>
        <v>0</v>
      </c>
      <c r="L14" s="116"/>
      <c r="M14" s="116"/>
      <c r="N14" s="343"/>
    </row>
    <row r="15" spans="1:14" s="46" customFormat="1" ht="18.75" customHeight="1">
      <c r="A15" s="28">
        <f aca="true" t="shared" si="6" ref="A15:A36">A14+1</f>
        <v>4</v>
      </c>
      <c r="B15" s="342" t="s">
        <v>162</v>
      </c>
      <c r="C15" s="116">
        <f t="shared" si="3"/>
        <v>4182</v>
      </c>
      <c r="D15" s="116"/>
      <c r="E15" s="497">
        <f>3402+550</f>
        <v>3952</v>
      </c>
      <c r="F15" s="116"/>
      <c r="G15" s="116"/>
      <c r="H15" s="116">
        <f t="shared" si="4"/>
        <v>230</v>
      </c>
      <c r="I15" s="116"/>
      <c r="J15" s="116">
        <v>230</v>
      </c>
      <c r="K15" s="116">
        <f t="shared" si="5"/>
        <v>0</v>
      </c>
      <c r="L15" s="116"/>
      <c r="M15" s="116"/>
      <c r="N15" s="343"/>
    </row>
    <row r="16" spans="1:14" s="46" customFormat="1" ht="18.75" customHeight="1">
      <c r="A16" s="28">
        <f t="shared" si="6"/>
        <v>5</v>
      </c>
      <c r="B16" s="342" t="s">
        <v>163</v>
      </c>
      <c r="C16" s="116">
        <f t="shared" si="3"/>
        <v>1529</v>
      </c>
      <c r="D16" s="116"/>
      <c r="E16" s="116">
        <v>1529</v>
      </c>
      <c r="F16" s="116"/>
      <c r="G16" s="116"/>
      <c r="H16" s="116">
        <f t="shared" si="4"/>
        <v>0</v>
      </c>
      <c r="I16" s="116"/>
      <c r="J16" s="116"/>
      <c r="K16" s="116">
        <f t="shared" si="5"/>
        <v>0</v>
      </c>
      <c r="L16" s="116"/>
      <c r="M16" s="116"/>
      <c r="N16" s="343"/>
    </row>
    <row r="17" spans="1:14" s="46" customFormat="1" ht="18.75" customHeight="1">
      <c r="A17" s="28">
        <f t="shared" si="6"/>
        <v>6</v>
      </c>
      <c r="B17" s="342" t="s">
        <v>164</v>
      </c>
      <c r="C17" s="116">
        <f t="shared" si="3"/>
        <v>9880</v>
      </c>
      <c r="D17" s="116"/>
      <c r="E17" s="116">
        <v>9880</v>
      </c>
      <c r="F17" s="116"/>
      <c r="G17" s="116"/>
      <c r="H17" s="116">
        <f t="shared" si="4"/>
        <v>0</v>
      </c>
      <c r="I17" s="116"/>
      <c r="J17" s="116"/>
      <c r="K17" s="116">
        <f t="shared" si="5"/>
        <v>0</v>
      </c>
      <c r="L17" s="116"/>
      <c r="M17" s="116"/>
      <c r="N17" s="343"/>
    </row>
    <row r="18" spans="1:14" s="46" customFormat="1" ht="18.75" customHeight="1">
      <c r="A18" s="28">
        <f t="shared" si="6"/>
        <v>7</v>
      </c>
      <c r="B18" s="342" t="s">
        <v>165</v>
      </c>
      <c r="C18" s="116">
        <f t="shared" si="3"/>
        <v>922</v>
      </c>
      <c r="D18" s="116"/>
      <c r="E18" s="116">
        <v>922</v>
      </c>
      <c r="F18" s="116"/>
      <c r="G18" s="116"/>
      <c r="H18" s="116">
        <f t="shared" si="4"/>
        <v>0</v>
      </c>
      <c r="I18" s="116"/>
      <c r="J18" s="116"/>
      <c r="K18" s="116">
        <f t="shared" si="5"/>
        <v>0</v>
      </c>
      <c r="L18" s="116"/>
      <c r="M18" s="116"/>
      <c r="N18" s="343"/>
    </row>
    <row r="19" spans="1:14" s="46" customFormat="1" ht="18.75" customHeight="1">
      <c r="A19" s="28">
        <f t="shared" si="6"/>
        <v>8</v>
      </c>
      <c r="B19" s="342" t="s">
        <v>166</v>
      </c>
      <c r="C19" s="116">
        <f t="shared" si="3"/>
        <v>1683</v>
      </c>
      <c r="D19" s="116"/>
      <c r="E19" s="116">
        <v>1683</v>
      </c>
      <c r="F19" s="116"/>
      <c r="G19" s="116"/>
      <c r="H19" s="116">
        <f t="shared" si="4"/>
        <v>0</v>
      </c>
      <c r="I19" s="116"/>
      <c r="J19" s="116"/>
      <c r="K19" s="116">
        <f t="shared" si="5"/>
        <v>0</v>
      </c>
      <c r="L19" s="116"/>
      <c r="M19" s="116"/>
      <c r="N19" s="343"/>
    </row>
    <row r="20" spans="1:14" s="46" customFormat="1" ht="18.75" customHeight="1">
      <c r="A20" s="28">
        <f t="shared" si="6"/>
        <v>9</v>
      </c>
      <c r="B20" s="342" t="s">
        <v>167</v>
      </c>
      <c r="C20" s="116">
        <f t="shared" si="3"/>
        <v>9149</v>
      </c>
      <c r="D20" s="116"/>
      <c r="E20" s="116">
        <v>8965</v>
      </c>
      <c r="F20" s="116"/>
      <c r="G20" s="116"/>
      <c r="H20" s="116">
        <f t="shared" si="4"/>
        <v>0</v>
      </c>
      <c r="I20" s="116"/>
      <c r="J20" s="116"/>
      <c r="K20" s="116">
        <f t="shared" si="5"/>
        <v>184</v>
      </c>
      <c r="L20" s="116"/>
      <c r="M20" s="116">
        <v>184</v>
      </c>
      <c r="N20" s="343"/>
    </row>
    <row r="21" spans="1:14" s="46" customFormat="1" ht="18.75" customHeight="1">
      <c r="A21" s="28">
        <f t="shared" si="6"/>
        <v>10</v>
      </c>
      <c r="B21" s="342" t="s">
        <v>168</v>
      </c>
      <c r="C21" s="116">
        <f t="shared" si="3"/>
        <v>2252</v>
      </c>
      <c r="D21" s="116"/>
      <c r="E21" s="116">
        <v>366</v>
      </c>
      <c r="F21" s="116"/>
      <c r="G21" s="116"/>
      <c r="H21" s="116">
        <f t="shared" si="4"/>
        <v>1886</v>
      </c>
      <c r="I21" s="116"/>
      <c r="J21" s="116">
        <v>1886</v>
      </c>
      <c r="K21" s="116">
        <f t="shared" si="5"/>
        <v>0</v>
      </c>
      <c r="L21" s="116"/>
      <c r="M21" s="116"/>
      <c r="N21" s="343"/>
    </row>
    <row r="22" spans="1:14" s="46" customFormat="1" ht="18.75" customHeight="1">
      <c r="A22" s="28">
        <f t="shared" si="6"/>
        <v>11</v>
      </c>
      <c r="B22" s="342" t="s">
        <v>169</v>
      </c>
      <c r="C22" s="116">
        <f t="shared" si="3"/>
        <v>2020</v>
      </c>
      <c r="D22" s="116"/>
      <c r="E22" s="116">
        <v>2020</v>
      </c>
      <c r="F22" s="116"/>
      <c r="G22" s="116"/>
      <c r="H22" s="116">
        <f t="shared" si="4"/>
        <v>0</v>
      </c>
      <c r="I22" s="116"/>
      <c r="J22" s="116"/>
      <c r="K22" s="116">
        <f t="shared" si="5"/>
        <v>0</v>
      </c>
      <c r="L22" s="116"/>
      <c r="M22" s="116"/>
      <c r="N22" s="343"/>
    </row>
    <row r="23" spans="1:14" s="46" customFormat="1" ht="18.75" customHeight="1">
      <c r="A23" s="28">
        <f t="shared" si="6"/>
        <v>12</v>
      </c>
      <c r="B23" s="342" t="s">
        <v>170</v>
      </c>
      <c r="C23" s="116">
        <f t="shared" si="3"/>
        <v>57780</v>
      </c>
      <c r="D23" s="116"/>
      <c r="E23" s="116">
        <v>56304</v>
      </c>
      <c r="F23" s="116"/>
      <c r="G23" s="116"/>
      <c r="H23" s="116">
        <f t="shared" si="4"/>
        <v>1476</v>
      </c>
      <c r="I23" s="116"/>
      <c r="J23" s="116">
        <v>1476</v>
      </c>
      <c r="K23" s="116">
        <f t="shared" si="5"/>
        <v>0</v>
      </c>
      <c r="L23" s="116"/>
      <c r="M23" s="116"/>
      <c r="N23" s="343"/>
    </row>
    <row r="24" spans="1:14" s="46" customFormat="1" ht="18.75" customHeight="1">
      <c r="A24" s="28">
        <f t="shared" si="6"/>
        <v>13</v>
      </c>
      <c r="B24" s="342" t="s">
        <v>171</v>
      </c>
      <c r="C24" s="116">
        <f t="shared" si="3"/>
        <v>9951</v>
      </c>
      <c r="D24" s="116"/>
      <c r="E24" s="116">
        <v>973</v>
      </c>
      <c r="F24" s="116"/>
      <c r="G24" s="116"/>
      <c r="H24" s="116">
        <f t="shared" si="4"/>
        <v>8978</v>
      </c>
      <c r="I24" s="116"/>
      <c r="J24" s="116">
        <v>8978</v>
      </c>
      <c r="K24" s="116">
        <f t="shared" si="5"/>
        <v>0</v>
      </c>
      <c r="L24" s="116"/>
      <c r="M24" s="116"/>
      <c r="N24" s="343"/>
    </row>
    <row r="25" spans="1:14" s="46" customFormat="1" ht="18.75" customHeight="1">
      <c r="A25" s="28">
        <f t="shared" si="6"/>
        <v>14</v>
      </c>
      <c r="B25" s="342" t="s">
        <v>172</v>
      </c>
      <c r="C25" s="116">
        <f t="shared" si="3"/>
        <v>494954</v>
      </c>
      <c r="D25" s="116"/>
      <c r="E25" s="116">
        <v>494954</v>
      </c>
      <c r="F25" s="116"/>
      <c r="G25" s="116"/>
      <c r="H25" s="116">
        <f t="shared" si="4"/>
        <v>0</v>
      </c>
      <c r="I25" s="116"/>
      <c r="J25" s="116"/>
      <c r="K25" s="116">
        <f t="shared" si="5"/>
        <v>0</v>
      </c>
      <c r="L25" s="116"/>
      <c r="M25" s="116"/>
      <c r="N25" s="343"/>
    </row>
    <row r="26" spans="1:14" s="46" customFormat="1" ht="18.75" customHeight="1">
      <c r="A26" s="28">
        <f t="shared" si="6"/>
        <v>15</v>
      </c>
      <c r="B26" s="342" t="s">
        <v>158</v>
      </c>
      <c r="C26" s="116">
        <f t="shared" si="3"/>
        <v>3656</v>
      </c>
      <c r="D26" s="116"/>
      <c r="E26" s="116">
        <v>944</v>
      </c>
      <c r="F26" s="116"/>
      <c r="G26" s="116"/>
      <c r="H26" s="116">
        <f t="shared" si="4"/>
        <v>2712</v>
      </c>
      <c r="I26" s="116"/>
      <c r="J26" s="116">
        <v>2712</v>
      </c>
      <c r="K26" s="116">
        <f t="shared" si="5"/>
        <v>0</v>
      </c>
      <c r="L26" s="116"/>
      <c r="M26" s="116"/>
      <c r="N26" s="343"/>
    </row>
    <row r="27" spans="1:14" s="46" customFormat="1" ht="18.75" customHeight="1">
      <c r="A27" s="28">
        <f t="shared" si="6"/>
        <v>16</v>
      </c>
      <c r="B27" s="342" t="s">
        <v>325</v>
      </c>
      <c r="C27" s="116">
        <f t="shared" si="3"/>
        <v>1189</v>
      </c>
      <c r="D27" s="116"/>
      <c r="E27" s="116">
        <v>1189</v>
      </c>
      <c r="F27" s="116"/>
      <c r="G27" s="116"/>
      <c r="H27" s="116">
        <f t="shared" si="4"/>
        <v>0</v>
      </c>
      <c r="I27" s="116"/>
      <c r="J27" s="116"/>
      <c r="K27" s="116">
        <f t="shared" si="5"/>
        <v>0</v>
      </c>
      <c r="L27" s="116"/>
      <c r="M27" s="116"/>
      <c r="N27" s="343"/>
    </row>
    <row r="28" spans="1:14" s="46" customFormat="1" ht="18.75" customHeight="1">
      <c r="A28" s="28">
        <f t="shared" si="6"/>
        <v>17</v>
      </c>
      <c r="B28" s="342" t="s">
        <v>217</v>
      </c>
      <c r="C28" s="116">
        <f t="shared" si="3"/>
        <v>8072</v>
      </c>
      <c r="D28" s="116"/>
      <c r="E28" s="116">
        <v>2964</v>
      </c>
      <c r="F28" s="116"/>
      <c r="G28" s="116"/>
      <c r="H28" s="116">
        <f t="shared" si="4"/>
        <v>5108</v>
      </c>
      <c r="I28" s="116"/>
      <c r="J28" s="116">
        <v>5108</v>
      </c>
      <c r="K28" s="116">
        <f t="shared" si="5"/>
        <v>0</v>
      </c>
      <c r="L28" s="116"/>
      <c r="M28" s="116"/>
      <c r="N28" s="343"/>
    </row>
    <row r="29" spans="1:14" s="46" customFormat="1" ht="18.75" customHeight="1">
      <c r="A29" s="28">
        <f t="shared" si="6"/>
        <v>18</v>
      </c>
      <c r="B29" s="342" t="s">
        <v>222</v>
      </c>
      <c r="C29" s="116">
        <f t="shared" si="3"/>
        <v>99116</v>
      </c>
      <c r="D29" s="116"/>
      <c r="E29" s="116">
        <v>6792</v>
      </c>
      <c r="F29" s="116"/>
      <c r="G29" s="116"/>
      <c r="H29" s="116">
        <f t="shared" si="4"/>
        <v>92324</v>
      </c>
      <c r="I29" s="116"/>
      <c r="J29" s="116">
        <v>92324</v>
      </c>
      <c r="K29" s="116">
        <f t="shared" si="5"/>
        <v>0</v>
      </c>
      <c r="L29" s="116"/>
      <c r="M29" s="116"/>
      <c r="N29" s="343"/>
    </row>
    <row r="30" spans="1:14" s="46" customFormat="1" ht="18.75" customHeight="1">
      <c r="A30" s="28">
        <f t="shared" si="6"/>
        <v>19</v>
      </c>
      <c r="B30" s="342" t="s">
        <v>223</v>
      </c>
      <c r="C30" s="116">
        <f t="shared" si="3"/>
        <v>919</v>
      </c>
      <c r="D30" s="116"/>
      <c r="E30" s="116">
        <v>919</v>
      </c>
      <c r="F30" s="116"/>
      <c r="G30" s="116"/>
      <c r="H30" s="116">
        <f t="shared" si="4"/>
        <v>0</v>
      </c>
      <c r="I30" s="116"/>
      <c r="J30" s="116"/>
      <c r="K30" s="116">
        <f t="shared" si="5"/>
        <v>0</v>
      </c>
      <c r="L30" s="116"/>
      <c r="M30" s="116"/>
      <c r="N30" s="343"/>
    </row>
    <row r="31" spans="1:14" s="46" customFormat="1" ht="18.75" customHeight="1">
      <c r="A31" s="28">
        <f t="shared" si="6"/>
        <v>20</v>
      </c>
      <c r="B31" s="342" t="s">
        <v>224</v>
      </c>
      <c r="C31" s="116">
        <f t="shared" si="3"/>
        <v>5438</v>
      </c>
      <c r="D31" s="116"/>
      <c r="E31" s="116">
        <v>5438</v>
      </c>
      <c r="F31" s="116"/>
      <c r="G31" s="116"/>
      <c r="H31" s="116">
        <f t="shared" si="4"/>
        <v>0</v>
      </c>
      <c r="I31" s="116"/>
      <c r="J31" s="116"/>
      <c r="K31" s="116">
        <f t="shared" si="5"/>
        <v>0</v>
      </c>
      <c r="L31" s="116"/>
      <c r="M31" s="116"/>
      <c r="N31" s="343"/>
    </row>
    <row r="32" spans="1:14" s="46" customFormat="1" ht="18.75" customHeight="1">
      <c r="A32" s="28">
        <f t="shared" si="6"/>
        <v>21</v>
      </c>
      <c r="B32" s="342" t="s">
        <v>173</v>
      </c>
      <c r="C32" s="116">
        <f t="shared" si="3"/>
        <v>161</v>
      </c>
      <c r="D32" s="116"/>
      <c r="E32" s="116">
        <v>161</v>
      </c>
      <c r="F32" s="116"/>
      <c r="G32" s="116"/>
      <c r="H32" s="116">
        <f t="shared" si="4"/>
        <v>0</v>
      </c>
      <c r="I32" s="116"/>
      <c r="J32" s="116"/>
      <c r="K32" s="116">
        <f t="shared" si="5"/>
        <v>0</v>
      </c>
      <c r="L32" s="116"/>
      <c r="M32" s="116"/>
      <c r="N32" s="343"/>
    </row>
    <row r="33" spans="1:14" s="341" customFormat="1" ht="18.75" customHeight="1">
      <c r="A33" s="28">
        <f t="shared" si="6"/>
        <v>22</v>
      </c>
      <c r="B33" s="342" t="s">
        <v>174</v>
      </c>
      <c r="C33" s="116">
        <f t="shared" si="3"/>
        <v>1800</v>
      </c>
      <c r="D33" s="116"/>
      <c r="E33" s="116">
        <v>1800</v>
      </c>
      <c r="F33" s="116"/>
      <c r="G33" s="116"/>
      <c r="H33" s="116">
        <f t="shared" si="4"/>
        <v>0</v>
      </c>
      <c r="I33" s="116"/>
      <c r="J33" s="116"/>
      <c r="K33" s="116">
        <f t="shared" si="5"/>
        <v>0</v>
      </c>
      <c r="L33" s="116"/>
      <c r="M33" s="116"/>
      <c r="N33" s="343"/>
    </row>
    <row r="34" spans="1:14" s="341" customFormat="1" ht="18.75" customHeight="1">
      <c r="A34" s="28">
        <f t="shared" si="6"/>
        <v>23</v>
      </c>
      <c r="B34" s="342" t="s">
        <v>175</v>
      </c>
      <c r="C34" s="116">
        <f t="shared" si="3"/>
        <v>3300</v>
      </c>
      <c r="D34" s="116"/>
      <c r="E34" s="116">
        <v>3300</v>
      </c>
      <c r="F34" s="116"/>
      <c r="G34" s="116"/>
      <c r="H34" s="116">
        <f t="shared" si="4"/>
        <v>0</v>
      </c>
      <c r="I34" s="116"/>
      <c r="J34" s="116"/>
      <c r="K34" s="116">
        <f t="shared" si="5"/>
        <v>0</v>
      </c>
      <c r="L34" s="116"/>
      <c r="M34" s="116"/>
      <c r="N34" s="343"/>
    </row>
    <row r="35" spans="1:14" s="341" customFormat="1" ht="18.75" customHeight="1">
      <c r="A35" s="28">
        <f t="shared" si="6"/>
        <v>24</v>
      </c>
      <c r="B35" s="342" t="s">
        <v>176</v>
      </c>
      <c r="C35" s="116">
        <f t="shared" si="3"/>
        <v>177682</v>
      </c>
      <c r="D35" s="116">
        <v>34125</v>
      </c>
      <c r="E35" s="116">
        <v>17740</v>
      </c>
      <c r="F35" s="116"/>
      <c r="G35" s="116"/>
      <c r="H35" s="116">
        <f t="shared" si="4"/>
        <v>125817</v>
      </c>
      <c r="I35" s="116">
        <v>123330</v>
      </c>
      <c r="J35" s="116">
        <v>2487</v>
      </c>
      <c r="K35" s="116">
        <f t="shared" si="5"/>
        <v>0</v>
      </c>
      <c r="L35" s="116"/>
      <c r="M35" s="116"/>
      <c r="N35" s="343"/>
    </row>
    <row r="36" spans="1:14" s="341" customFormat="1" ht="18.75" customHeight="1">
      <c r="A36" s="28">
        <f t="shared" si="6"/>
        <v>25</v>
      </c>
      <c r="B36" s="342" t="s">
        <v>177</v>
      </c>
      <c r="C36" s="116">
        <f t="shared" si="3"/>
        <v>23018</v>
      </c>
      <c r="D36" s="116"/>
      <c r="E36" s="497">
        <f>3556+16642+3410-550-40</f>
        <v>23018</v>
      </c>
      <c r="F36" s="116"/>
      <c r="G36" s="116"/>
      <c r="H36" s="116">
        <f>I36+J36</f>
        <v>0</v>
      </c>
      <c r="I36" s="116"/>
      <c r="J36" s="116"/>
      <c r="K36" s="116">
        <f t="shared" si="5"/>
        <v>0</v>
      </c>
      <c r="L36" s="116"/>
      <c r="M36" s="116"/>
      <c r="N36" s="343"/>
    </row>
    <row r="37" spans="1:14" s="341" customFormat="1" ht="18.75" customHeight="1" hidden="1">
      <c r="A37" s="28">
        <v>26</v>
      </c>
      <c r="B37" s="342" t="s">
        <v>374</v>
      </c>
      <c r="C37" s="116">
        <f t="shared" si="3"/>
        <v>0</v>
      </c>
      <c r="D37" s="116"/>
      <c r="E37" s="497"/>
      <c r="F37" s="116"/>
      <c r="G37" s="116"/>
      <c r="H37" s="116"/>
      <c r="I37" s="116"/>
      <c r="J37" s="116"/>
      <c r="K37" s="116"/>
      <c r="L37" s="116"/>
      <c r="M37" s="116"/>
      <c r="N37" s="343"/>
    </row>
    <row r="38" spans="1:14" s="341" customFormat="1" ht="18.75" customHeight="1">
      <c r="A38" s="287" t="s">
        <v>21</v>
      </c>
      <c r="B38" s="115" t="s">
        <v>126</v>
      </c>
      <c r="C38" s="338">
        <f t="shared" si="3"/>
        <v>14335</v>
      </c>
      <c r="D38" s="338"/>
      <c r="E38" s="338"/>
      <c r="F38" s="499">
        <f>14225+70+40</f>
        <v>14335</v>
      </c>
      <c r="G38" s="338"/>
      <c r="H38" s="338">
        <f t="shared" si="4"/>
        <v>0</v>
      </c>
      <c r="I38" s="338"/>
      <c r="J38" s="338"/>
      <c r="K38" s="338">
        <f t="shared" si="5"/>
        <v>0</v>
      </c>
      <c r="L38" s="338"/>
      <c r="M38" s="338"/>
      <c r="N38" s="340"/>
    </row>
    <row r="39" spans="1:14" s="348" customFormat="1" ht="18.75" customHeight="1" hidden="1" thickBot="1">
      <c r="A39" s="344"/>
      <c r="B39" s="345" t="s">
        <v>127</v>
      </c>
      <c r="C39" s="346">
        <f>SUM(D39:H39)+K39+N39</f>
        <v>0</v>
      </c>
      <c r="D39" s="346"/>
      <c r="E39" s="346"/>
      <c r="F39" s="346"/>
      <c r="G39" s="346"/>
      <c r="H39" s="346">
        <f t="shared" si="4"/>
        <v>0</v>
      </c>
      <c r="I39" s="346"/>
      <c r="J39" s="346"/>
      <c r="K39" s="346">
        <f t="shared" si="5"/>
        <v>0</v>
      </c>
      <c r="L39" s="346"/>
      <c r="M39" s="346"/>
      <c r="N39" s="347"/>
    </row>
    <row r="40" spans="1:14" s="46" customFormat="1" ht="18.75" customHeight="1" thickBot="1">
      <c r="A40" s="356" t="s">
        <v>22</v>
      </c>
      <c r="B40" s="357" t="s">
        <v>189</v>
      </c>
      <c r="C40" s="358">
        <f>SUM(D40:H40)+K40+N40</f>
        <v>143110</v>
      </c>
      <c r="D40" s="358">
        <v>2520</v>
      </c>
      <c r="E40" s="358">
        <f>107815-3665</f>
        <v>104150</v>
      </c>
      <c r="F40" s="358">
        <v>2255</v>
      </c>
      <c r="G40" s="271"/>
      <c r="H40" s="358">
        <f>I40+J40</f>
        <v>32535</v>
      </c>
      <c r="I40" s="358"/>
      <c r="J40" s="358">
        <v>32535</v>
      </c>
      <c r="K40" s="358">
        <f t="shared" si="5"/>
        <v>1650</v>
      </c>
      <c r="L40" s="358"/>
      <c r="M40" s="358">
        <v>1650</v>
      </c>
      <c r="N40" s="343"/>
    </row>
    <row r="41" spans="1:14" ht="23.25" customHeight="1" hidden="1">
      <c r="A41" s="351"/>
      <c r="B41" s="352" t="s">
        <v>121</v>
      </c>
      <c r="C41" s="353">
        <f t="shared" si="3"/>
        <v>0</v>
      </c>
      <c r="D41" s="354"/>
      <c r="E41" s="354"/>
      <c r="F41" s="354"/>
      <c r="G41" s="354"/>
      <c r="H41" s="353">
        <f t="shared" si="4"/>
        <v>0</v>
      </c>
      <c r="I41" s="354"/>
      <c r="J41" s="354"/>
      <c r="K41" s="353">
        <f t="shared" si="5"/>
        <v>0</v>
      </c>
      <c r="L41" s="354"/>
      <c r="M41" s="354"/>
      <c r="N41" s="349"/>
    </row>
    <row r="42" ht="15.75" thickTop="1">
      <c r="C42" s="355"/>
    </row>
    <row r="43" spans="3:4" ht="22.5" customHeight="1">
      <c r="C43" s="355">
        <f>C40-PL34!C10</f>
        <v>0</v>
      </c>
      <c r="D43" s="355"/>
    </row>
  </sheetData>
  <sheetProtection/>
  <mergeCells count="17">
    <mergeCell ref="A3:M3"/>
    <mergeCell ref="G5:G8"/>
    <mergeCell ref="H5:J5"/>
    <mergeCell ref="K5:M5"/>
    <mergeCell ref="A5:A8"/>
    <mergeCell ref="B5:B8"/>
    <mergeCell ref="C5:C8"/>
    <mergeCell ref="D5:D8"/>
    <mergeCell ref="E5:E8"/>
    <mergeCell ref="F5:F8"/>
    <mergeCell ref="N5:N8"/>
    <mergeCell ref="H6:H8"/>
    <mergeCell ref="I6:I8"/>
    <mergeCell ref="J6:J8"/>
    <mergeCell ref="K6:K8"/>
    <mergeCell ref="L6:L8"/>
    <mergeCell ref="M6:M8"/>
  </mergeCells>
  <printOptions/>
  <pageMargins left="0.38" right="0.21"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MAY TINH DAT HONG</cp:lastModifiedBy>
  <cp:lastPrinted>2023-12-06T11:10:16Z</cp:lastPrinted>
  <dcterms:created xsi:type="dcterms:W3CDTF">2001-01-04T01:21:32Z</dcterms:created>
  <dcterms:modified xsi:type="dcterms:W3CDTF">2023-12-10T10:50:25Z</dcterms:modified>
  <cp:category/>
  <cp:version/>
  <cp:contentType/>
  <cp:contentStatus/>
</cp:coreProperties>
</file>